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Master CF\Lezione budget di cassa\"/>
    </mc:Choice>
  </mc:AlternateContent>
  <xr:revisionPtr revIDLastSave="0" documentId="13_ncr:1_{E6B3D3AA-C666-4529-9460-C094E6C2E28F}" xr6:coauthVersionLast="45" xr6:coauthVersionMax="45" xr10:uidLastSave="{00000000-0000-0000-0000-000000000000}"/>
  <bookViews>
    <workbookView xWindow="-96" yWindow="-96" windowWidth="23232" windowHeight="12552" tabRatio="757" activeTab="1" xr2:uid="{00000000-000D-0000-FFFF-FFFF00000000}"/>
  </bookViews>
  <sheets>
    <sheet name="Dettaglio RIBANov19" sheetId="96" r:id="rId1"/>
    <sheet name="Novembre 19" sheetId="97" r:id="rId2"/>
  </sheets>
  <definedNames>
    <definedName name="_xlnm.Print_Area" localSheetId="0">'Dettaglio RIBANov19'!$A$1:$AH$26</definedName>
    <definedName name="_xlnm.Print_Area" localSheetId="1">'Novembre 19'!$A$1:$AI$139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47" i="97" l="1"/>
  <c r="AH147" i="97"/>
  <c r="AI147" i="97"/>
  <c r="AJ147" i="97"/>
  <c r="AK147" i="97"/>
  <c r="AL147" i="97"/>
  <c r="AG155" i="97"/>
  <c r="AH155" i="97"/>
  <c r="AI155" i="97"/>
  <c r="AJ155" i="97"/>
  <c r="AK155" i="97"/>
  <c r="AL155" i="97"/>
  <c r="AK6" i="97"/>
  <c r="AH146" i="97"/>
  <c r="AG146" i="97"/>
  <c r="AI146" i="97"/>
  <c r="AJ146" i="97"/>
  <c r="AG130" i="97"/>
  <c r="AE136" i="97" l="1"/>
  <c r="AF136" i="97"/>
  <c r="AG136" i="97"/>
  <c r="AH136" i="97"/>
  <c r="AI136" i="97"/>
  <c r="AK136" i="97"/>
  <c r="AL136" i="97"/>
  <c r="AJ136" i="97"/>
  <c r="AG145" i="97" l="1"/>
  <c r="B6" i="97"/>
  <c r="C6" i="97"/>
  <c r="D6" i="97"/>
  <c r="E6" i="97"/>
  <c r="F6" i="97"/>
  <c r="G6" i="97"/>
  <c r="H6" i="97"/>
  <c r="I6" i="97"/>
  <c r="J6" i="97"/>
  <c r="K6" i="97"/>
  <c r="L6" i="97"/>
  <c r="M6" i="97"/>
  <c r="N6" i="97"/>
  <c r="O6" i="97"/>
  <c r="P6" i="97"/>
  <c r="Q6" i="97"/>
  <c r="R6" i="97"/>
  <c r="S6" i="97"/>
  <c r="T6" i="97"/>
  <c r="U6" i="97"/>
  <c r="V6" i="97"/>
  <c r="W6" i="97"/>
  <c r="X6" i="97"/>
  <c r="Y6" i="97"/>
  <c r="Z6" i="97"/>
  <c r="AA6" i="97"/>
  <c r="AB6" i="97"/>
  <c r="AC6" i="97"/>
  <c r="AD6" i="97"/>
  <c r="B7" i="97"/>
  <c r="C7" i="97"/>
  <c r="C101" i="97" s="1"/>
  <c r="D7" i="97"/>
  <c r="D11" i="97" s="1"/>
  <c r="E7" i="97"/>
  <c r="F7" i="97"/>
  <c r="G7" i="97"/>
  <c r="H7" i="97"/>
  <c r="I7" i="97"/>
  <c r="J7" i="97"/>
  <c r="K7" i="97"/>
  <c r="L7" i="97"/>
  <c r="M7" i="97"/>
  <c r="N7" i="97"/>
  <c r="O7" i="97"/>
  <c r="P7" i="97"/>
  <c r="Q7" i="97"/>
  <c r="R7" i="97"/>
  <c r="S7" i="97"/>
  <c r="T7" i="97"/>
  <c r="U7" i="97"/>
  <c r="V7" i="97"/>
  <c r="W7" i="97"/>
  <c r="X7" i="97"/>
  <c r="Y7" i="97"/>
  <c r="Z7" i="97"/>
  <c r="AA7" i="97"/>
  <c r="AB7" i="97"/>
  <c r="AC7" i="97"/>
  <c r="AD7" i="97"/>
  <c r="K8" i="97"/>
  <c r="L8" i="97"/>
  <c r="M8" i="97"/>
  <c r="N8" i="97"/>
  <c r="O8" i="97"/>
  <c r="P8" i="97"/>
  <c r="Q8" i="97"/>
  <c r="R8" i="97"/>
  <c r="S8" i="97"/>
  <c r="T8" i="97"/>
  <c r="U8" i="97"/>
  <c r="V8" i="97"/>
  <c r="W8" i="97"/>
  <c r="X8" i="97"/>
  <c r="Y8" i="97"/>
  <c r="Z8" i="97"/>
  <c r="AA8" i="97"/>
  <c r="AB8" i="97"/>
  <c r="AC8" i="97"/>
  <c r="AD8" i="97"/>
  <c r="B14" i="97"/>
  <c r="C14" i="97"/>
  <c r="D14" i="97"/>
  <c r="E14" i="97"/>
  <c r="F14" i="97"/>
  <c r="G14" i="97"/>
  <c r="H14" i="97"/>
  <c r="I14" i="97"/>
  <c r="J14" i="97"/>
  <c r="K14" i="97"/>
  <c r="L14" i="97"/>
  <c r="M14" i="97"/>
  <c r="N14" i="97"/>
  <c r="O14" i="97"/>
  <c r="P14" i="97"/>
  <c r="Q14" i="97"/>
  <c r="R14" i="97"/>
  <c r="S14" i="97"/>
  <c r="T14" i="97"/>
  <c r="U14" i="97"/>
  <c r="V14" i="97"/>
  <c r="W14" i="97"/>
  <c r="X14" i="97"/>
  <c r="Y14" i="97"/>
  <c r="Z14" i="97"/>
  <c r="AA14" i="97"/>
  <c r="AB14" i="97"/>
  <c r="AC14" i="97"/>
  <c r="AD14" i="97"/>
  <c r="B15" i="97"/>
  <c r="C15" i="97"/>
  <c r="D15" i="97"/>
  <c r="E15" i="97"/>
  <c r="G15" i="97"/>
  <c r="H15" i="97"/>
  <c r="I15" i="97"/>
  <c r="J15" i="97"/>
  <c r="K15" i="97"/>
  <c r="L15" i="97"/>
  <c r="O15" i="97"/>
  <c r="P15" i="97"/>
  <c r="Q15" i="97"/>
  <c r="R15" i="97"/>
  <c r="S15" i="97"/>
  <c r="T15" i="97"/>
  <c r="U15" i="97"/>
  <c r="V15" i="97"/>
  <c r="W15" i="97"/>
  <c r="X15" i="97"/>
  <c r="Y15" i="97"/>
  <c r="Z15" i="97"/>
  <c r="AA15" i="97"/>
  <c r="AB15" i="97"/>
  <c r="AC15" i="97"/>
  <c r="AD15" i="97"/>
  <c r="K16" i="97"/>
  <c r="L16" i="97"/>
  <c r="M16" i="97"/>
  <c r="N16" i="97"/>
  <c r="O16" i="97"/>
  <c r="P16" i="97"/>
  <c r="Q16" i="97"/>
  <c r="R16" i="97"/>
  <c r="S16" i="97"/>
  <c r="T16" i="97"/>
  <c r="U16" i="97"/>
  <c r="V16" i="97"/>
  <c r="W16" i="97"/>
  <c r="X16" i="97"/>
  <c r="Y16" i="97"/>
  <c r="Z16" i="97"/>
  <c r="AA16" i="97"/>
  <c r="AB16" i="97"/>
  <c r="AC16" i="97"/>
  <c r="AD16" i="97"/>
  <c r="M17" i="97"/>
  <c r="M15" i="97" s="1"/>
  <c r="M19" i="97" s="1"/>
  <c r="M27" i="97" s="1"/>
  <c r="N17" i="97"/>
  <c r="N15" i="97" s="1"/>
  <c r="N19" i="97" s="1"/>
  <c r="N27" i="97" s="1"/>
  <c r="E19" i="97"/>
  <c r="E27" i="97" s="1"/>
  <c r="F19" i="97"/>
  <c r="F27" i="97" s="1"/>
  <c r="P22" i="97"/>
  <c r="V22" i="97"/>
  <c r="AD22" i="97"/>
  <c r="L23" i="97"/>
  <c r="O23" i="97"/>
  <c r="W23" i="97"/>
  <c r="Y23" i="97"/>
  <c r="Z23" i="97"/>
  <c r="AB23" i="97"/>
  <c r="P25" i="97"/>
  <c r="X25" i="97"/>
  <c r="H26" i="97"/>
  <c r="K26" i="97"/>
  <c r="P26" i="97"/>
  <c r="C31" i="97"/>
  <c r="D31" i="97"/>
  <c r="E31" i="97"/>
  <c r="F31" i="97"/>
  <c r="G31" i="97"/>
  <c r="H31" i="97"/>
  <c r="I31" i="97"/>
  <c r="J31" i="97"/>
  <c r="K31" i="97"/>
  <c r="L31" i="97"/>
  <c r="M31" i="97"/>
  <c r="N31" i="97"/>
  <c r="O31" i="97"/>
  <c r="P31" i="97"/>
  <c r="Q31" i="97"/>
  <c r="R31" i="97"/>
  <c r="S31" i="97"/>
  <c r="T31" i="97"/>
  <c r="U31" i="97"/>
  <c r="V31" i="97"/>
  <c r="W31" i="97"/>
  <c r="X31" i="97"/>
  <c r="Y31" i="97"/>
  <c r="Z31" i="97"/>
  <c r="AA31" i="97"/>
  <c r="AB31" i="97"/>
  <c r="AC31" i="97"/>
  <c r="AD31" i="97"/>
  <c r="C32" i="97"/>
  <c r="D32" i="97"/>
  <c r="G32" i="97"/>
  <c r="H32" i="97"/>
  <c r="C33" i="97"/>
  <c r="D33" i="97"/>
  <c r="E33" i="97"/>
  <c r="F33" i="97"/>
  <c r="G33" i="97"/>
  <c r="H33" i="97"/>
  <c r="I33" i="97"/>
  <c r="J33" i="97"/>
  <c r="M33" i="97"/>
  <c r="O33" i="97"/>
  <c r="P33" i="97"/>
  <c r="Q33" i="97"/>
  <c r="S33" i="97"/>
  <c r="U33" i="97"/>
  <c r="Y33" i="97"/>
  <c r="Z33" i="97"/>
  <c r="AB33" i="97"/>
  <c r="AC33" i="97"/>
  <c r="AD33" i="97"/>
  <c r="C34" i="97"/>
  <c r="D34" i="97"/>
  <c r="E34" i="97"/>
  <c r="G34" i="97"/>
  <c r="I34" i="97"/>
  <c r="J34" i="97"/>
  <c r="K34" i="97"/>
  <c r="L34" i="97"/>
  <c r="M34" i="97"/>
  <c r="N34" i="97"/>
  <c r="O34" i="97"/>
  <c r="P34" i="97"/>
  <c r="Q34" i="97"/>
  <c r="R34" i="97"/>
  <c r="S34" i="97"/>
  <c r="T34" i="97"/>
  <c r="U34" i="97"/>
  <c r="W34" i="97"/>
  <c r="X34" i="97"/>
  <c r="Y34" i="97"/>
  <c r="Z34" i="97"/>
  <c r="AA34" i="97"/>
  <c r="AC34" i="97"/>
  <c r="U36" i="97"/>
  <c r="V36" i="97"/>
  <c r="Z36" i="97"/>
  <c r="AA36" i="97"/>
  <c r="F37" i="97"/>
  <c r="H37" i="97"/>
  <c r="K37" i="97"/>
  <c r="D42" i="97"/>
  <c r="E42" i="97"/>
  <c r="F42" i="97"/>
  <c r="G42" i="97"/>
  <c r="H42" i="97"/>
  <c r="K42" i="97"/>
  <c r="L42" i="97"/>
  <c r="M42" i="97"/>
  <c r="P42" i="97"/>
  <c r="Q42" i="97"/>
  <c r="R42" i="97"/>
  <c r="S42" i="97"/>
  <c r="T42" i="97"/>
  <c r="V42" i="97"/>
  <c r="W42" i="97"/>
  <c r="X42" i="97"/>
  <c r="Y42" i="97"/>
  <c r="Z42" i="97"/>
  <c r="AA42" i="97"/>
  <c r="AB42" i="97"/>
  <c r="AC42" i="97"/>
  <c r="AD42" i="97"/>
  <c r="D43" i="97"/>
  <c r="I43" i="97"/>
  <c r="C46" i="97"/>
  <c r="H46" i="97"/>
  <c r="I46" i="97"/>
  <c r="I42" i="97" s="1"/>
  <c r="J46" i="97"/>
  <c r="J42" i="97" s="1"/>
  <c r="L46" i="97"/>
  <c r="M46" i="97"/>
  <c r="N46" i="97"/>
  <c r="N42" i="97" s="1"/>
  <c r="O46" i="97"/>
  <c r="O42" i="97" s="1"/>
  <c r="P46" i="97"/>
  <c r="Q46" i="97"/>
  <c r="R46" i="97"/>
  <c r="S46" i="97"/>
  <c r="C47" i="97"/>
  <c r="C43" i="97" s="1"/>
  <c r="D47" i="97"/>
  <c r="J47" i="97"/>
  <c r="J43" i="97" s="1"/>
  <c r="C48" i="97"/>
  <c r="D48" i="97"/>
  <c r="E48" i="97"/>
  <c r="G48" i="97"/>
  <c r="H48" i="97"/>
  <c r="I48" i="97"/>
  <c r="J48" i="97"/>
  <c r="K48" i="97"/>
  <c r="L48" i="97"/>
  <c r="M48" i="97"/>
  <c r="N48" i="97"/>
  <c r="O48" i="97"/>
  <c r="P48" i="97"/>
  <c r="Q48" i="97"/>
  <c r="R48" i="97"/>
  <c r="S48" i="97"/>
  <c r="T48" i="97"/>
  <c r="U48" i="97"/>
  <c r="V48" i="97"/>
  <c r="W48" i="97"/>
  <c r="X48" i="97"/>
  <c r="Y48" i="97"/>
  <c r="Z48" i="97"/>
  <c r="AA48" i="97"/>
  <c r="AB48" i="97"/>
  <c r="AC48" i="97"/>
  <c r="AD48" i="97"/>
  <c r="AB55" i="97"/>
  <c r="N59" i="97"/>
  <c r="N131" i="97" s="1"/>
  <c r="Q59" i="97"/>
  <c r="U59" i="97"/>
  <c r="Y59" i="97"/>
  <c r="Y131" i="97" s="1"/>
  <c r="Z59" i="97"/>
  <c r="AA59" i="97"/>
  <c r="AA131" i="97" s="1"/>
  <c r="AB59" i="97"/>
  <c r="AC59" i="97"/>
  <c r="AC131" i="97" s="1"/>
  <c r="AD59" i="97"/>
  <c r="U60" i="97"/>
  <c r="AD62" i="97"/>
  <c r="B63" i="97"/>
  <c r="C63" i="97"/>
  <c r="C131" i="97" s="1"/>
  <c r="D63" i="97"/>
  <c r="D131" i="97" s="1"/>
  <c r="E63" i="97"/>
  <c r="E131" i="97" s="1"/>
  <c r="F63" i="97"/>
  <c r="G63" i="97"/>
  <c r="G131" i="97" s="1"/>
  <c r="H63" i="97"/>
  <c r="H131" i="97" s="1"/>
  <c r="I63" i="97"/>
  <c r="I131" i="97" s="1"/>
  <c r="K63" i="97"/>
  <c r="K131" i="97" s="1"/>
  <c r="L63" i="97"/>
  <c r="L131" i="97" s="1"/>
  <c r="Q63" i="97"/>
  <c r="S63" i="97"/>
  <c r="S131" i="97" s="1"/>
  <c r="U63" i="97"/>
  <c r="Z63" i="97"/>
  <c r="AD68" i="97"/>
  <c r="C69" i="97"/>
  <c r="C134" i="97" s="1"/>
  <c r="D69" i="97"/>
  <c r="E69" i="97"/>
  <c r="E134" i="97" s="1"/>
  <c r="F69" i="97"/>
  <c r="F134" i="97" s="1"/>
  <c r="G69" i="97"/>
  <c r="G134" i="97" s="1"/>
  <c r="H69" i="97"/>
  <c r="H134" i="97" s="1"/>
  <c r="I69" i="97"/>
  <c r="I134" i="97" s="1"/>
  <c r="J69" i="97"/>
  <c r="J134" i="97" s="1"/>
  <c r="K69" i="97"/>
  <c r="L69" i="97"/>
  <c r="M69" i="97"/>
  <c r="N69" i="97"/>
  <c r="N134" i="97" s="1"/>
  <c r="O69" i="97"/>
  <c r="O134" i="97" s="1"/>
  <c r="P69" i="97"/>
  <c r="Q69" i="97"/>
  <c r="R69" i="97"/>
  <c r="R134" i="97" s="1"/>
  <c r="S69" i="97"/>
  <c r="S134" i="97" s="1"/>
  <c r="T69" i="97"/>
  <c r="T134" i="97" s="1"/>
  <c r="U69" i="97"/>
  <c r="U134" i="97" s="1"/>
  <c r="V69" i="97"/>
  <c r="V134" i="97" s="1"/>
  <c r="W69" i="97"/>
  <c r="W134" i="97" s="1"/>
  <c r="X69" i="97"/>
  <c r="Y69" i="97"/>
  <c r="Y134" i="97" s="1"/>
  <c r="Z69" i="97"/>
  <c r="AA69" i="97"/>
  <c r="AA134" i="97" s="1"/>
  <c r="AB69" i="97"/>
  <c r="AC69" i="97"/>
  <c r="AC134" i="97" s="1"/>
  <c r="AD69" i="97"/>
  <c r="D75" i="97"/>
  <c r="D135" i="97" s="1"/>
  <c r="U75" i="97"/>
  <c r="U135" i="97" s="1"/>
  <c r="W75" i="97"/>
  <c r="W135" i="97" s="1"/>
  <c r="L81" i="97"/>
  <c r="T81" i="97"/>
  <c r="U81" i="97"/>
  <c r="Z81" i="97"/>
  <c r="AA81" i="97"/>
  <c r="AA137" i="97" s="1"/>
  <c r="U82" i="97"/>
  <c r="U137" i="97" s="1"/>
  <c r="J83" i="97"/>
  <c r="P83" i="97"/>
  <c r="P137" i="97" s="1"/>
  <c r="R83" i="97"/>
  <c r="R137" i="97" s="1"/>
  <c r="T83" i="97"/>
  <c r="T84" i="97"/>
  <c r="U84" i="97"/>
  <c r="V84" i="97"/>
  <c r="V137" i="97" s="1"/>
  <c r="B88" i="97"/>
  <c r="B91" i="97"/>
  <c r="C91" i="97"/>
  <c r="D91" i="97"/>
  <c r="E91" i="97"/>
  <c r="F91" i="97"/>
  <c r="G91" i="97"/>
  <c r="B93" i="97"/>
  <c r="M95" i="97"/>
  <c r="N95" i="97"/>
  <c r="AC95" i="97"/>
  <c r="AC96" i="97"/>
  <c r="B99" i="97"/>
  <c r="B106" i="97" s="1"/>
  <c r="B117" i="97"/>
  <c r="C117" i="97"/>
  <c r="D117" i="97"/>
  <c r="E117" i="97"/>
  <c r="F117" i="97"/>
  <c r="G117" i="97"/>
  <c r="H117" i="97"/>
  <c r="I117" i="97"/>
  <c r="J117" i="97"/>
  <c r="K117" i="97"/>
  <c r="L117" i="97"/>
  <c r="M117" i="97"/>
  <c r="N117" i="97"/>
  <c r="O117" i="97"/>
  <c r="P117" i="97"/>
  <c r="Q117" i="97"/>
  <c r="R117" i="97"/>
  <c r="S117" i="97"/>
  <c r="T117" i="97"/>
  <c r="U117" i="97"/>
  <c r="V117" i="97"/>
  <c r="W117" i="97"/>
  <c r="X117" i="97"/>
  <c r="Y117" i="97"/>
  <c r="Z117" i="97"/>
  <c r="AA117" i="97"/>
  <c r="AB117" i="97"/>
  <c r="AC117" i="97"/>
  <c r="AD117" i="97"/>
  <c r="B125" i="97"/>
  <c r="B131" i="97"/>
  <c r="F131" i="97"/>
  <c r="J131" i="97"/>
  <c r="M131" i="97"/>
  <c r="O131" i="97"/>
  <c r="P131" i="97"/>
  <c r="R131" i="97"/>
  <c r="T131" i="97"/>
  <c r="V131" i="97"/>
  <c r="W131" i="97"/>
  <c r="X131" i="97"/>
  <c r="B134" i="97"/>
  <c r="D134" i="97"/>
  <c r="K134" i="97"/>
  <c r="L134" i="97"/>
  <c r="M134" i="97"/>
  <c r="P134" i="97"/>
  <c r="Q134" i="97"/>
  <c r="Z134" i="97"/>
  <c r="AB134" i="97"/>
  <c r="B135" i="97"/>
  <c r="C135" i="97"/>
  <c r="E135" i="97"/>
  <c r="F135" i="97"/>
  <c r="G135" i="97"/>
  <c r="H135" i="97"/>
  <c r="I135" i="97"/>
  <c r="J135" i="97"/>
  <c r="K135" i="97"/>
  <c r="L135" i="97"/>
  <c r="M135" i="97"/>
  <c r="N135" i="97"/>
  <c r="O135" i="97"/>
  <c r="P135" i="97"/>
  <c r="Q135" i="97"/>
  <c r="R135" i="97"/>
  <c r="S135" i="97"/>
  <c r="T135" i="97"/>
  <c r="V135" i="97"/>
  <c r="X135" i="97"/>
  <c r="Y135" i="97"/>
  <c r="Z135" i="97"/>
  <c r="AA135" i="97"/>
  <c r="AB135" i="97"/>
  <c r="AC135" i="97"/>
  <c r="AD135" i="97"/>
  <c r="B136" i="97"/>
  <c r="C136" i="97"/>
  <c r="D136" i="97"/>
  <c r="E136" i="97"/>
  <c r="F136" i="97"/>
  <c r="G136" i="97"/>
  <c r="H136" i="97"/>
  <c r="I136" i="97"/>
  <c r="J136" i="97"/>
  <c r="K136" i="97"/>
  <c r="L136" i="97"/>
  <c r="M136" i="97"/>
  <c r="N136" i="97"/>
  <c r="O136" i="97"/>
  <c r="P136" i="97"/>
  <c r="Q136" i="97"/>
  <c r="R136" i="97"/>
  <c r="S136" i="97"/>
  <c r="T136" i="97"/>
  <c r="U136" i="97"/>
  <c r="V136" i="97"/>
  <c r="W136" i="97"/>
  <c r="X136" i="97"/>
  <c r="Y136" i="97"/>
  <c r="Z136" i="97"/>
  <c r="AA136" i="97"/>
  <c r="AB136" i="97"/>
  <c r="AC136" i="97"/>
  <c r="AD136" i="97"/>
  <c r="B137" i="97"/>
  <c r="C137" i="97"/>
  <c r="D137" i="97"/>
  <c r="E137" i="97"/>
  <c r="F137" i="97"/>
  <c r="G137" i="97"/>
  <c r="H137" i="97"/>
  <c r="I137" i="97"/>
  <c r="J137" i="97"/>
  <c r="K137" i="97"/>
  <c r="L137" i="97"/>
  <c r="M137" i="97"/>
  <c r="N137" i="97"/>
  <c r="O137" i="97"/>
  <c r="Q137" i="97"/>
  <c r="S137" i="97"/>
  <c r="W137" i="97"/>
  <c r="X137" i="97"/>
  <c r="Y137" i="97"/>
  <c r="Z137" i="97"/>
  <c r="AB137" i="97"/>
  <c r="AC137" i="97"/>
  <c r="AD137" i="97"/>
  <c r="L19" i="97" l="1"/>
  <c r="L27" i="97" s="1"/>
  <c r="F130" i="97"/>
  <c r="F138" i="97" s="1"/>
  <c r="D101" i="97"/>
  <c r="D125" i="97" s="1"/>
  <c r="Z131" i="97"/>
  <c r="O88" i="97"/>
  <c r="T88" i="97"/>
  <c r="K88" i="97"/>
  <c r="AD131" i="97"/>
  <c r="U131" i="97"/>
  <c r="R88" i="97"/>
  <c r="AB11" i="97"/>
  <c r="X134" i="97"/>
  <c r="AB131" i="97"/>
  <c r="W19" i="97"/>
  <c r="W130" i="97" s="1"/>
  <c r="W138" i="97" s="1"/>
  <c r="O19" i="97"/>
  <c r="O27" i="97" s="1"/>
  <c r="M11" i="97"/>
  <c r="T137" i="97"/>
  <c r="D88" i="97"/>
  <c r="AC19" i="97"/>
  <c r="AC27" i="97" s="1"/>
  <c r="U19" i="97"/>
  <c r="U27" i="97" s="1"/>
  <c r="U98" i="97" s="1"/>
  <c r="G19" i="97"/>
  <c r="G27" i="97" s="1"/>
  <c r="AD134" i="97"/>
  <c r="Q131" i="97"/>
  <c r="B122" i="97"/>
  <c r="C93" i="97"/>
  <c r="X88" i="97"/>
  <c r="H88" i="97"/>
  <c r="S88" i="97"/>
  <c r="K11" i="97"/>
  <c r="X11" i="97"/>
  <c r="P11" i="97"/>
  <c r="H11" i="97"/>
  <c r="AB88" i="97"/>
  <c r="T19" i="97"/>
  <c r="T27" i="97" s="1"/>
  <c r="AD19" i="97"/>
  <c r="AD27" i="97" s="1"/>
  <c r="AD98" i="97" s="1"/>
  <c r="Q88" i="97"/>
  <c r="AD88" i="97"/>
  <c r="L88" i="97"/>
  <c r="P88" i="97"/>
  <c r="AC88" i="97"/>
  <c r="U88" i="97"/>
  <c r="M88" i="97"/>
  <c r="M98" i="97" s="1"/>
  <c r="E88" i="97"/>
  <c r="E98" i="97" s="1"/>
  <c r="L103" i="97"/>
  <c r="C102" i="97"/>
  <c r="D102" i="97" s="1"/>
  <c r="Z88" i="97"/>
  <c r="D19" i="97"/>
  <c r="D130" i="97" s="1"/>
  <c r="D138" i="97" s="1"/>
  <c r="E11" i="97"/>
  <c r="L11" i="97"/>
  <c r="V19" i="97"/>
  <c r="V27" i="97" s="1"/>
  <c r="S11" i="97"/>
  <c r="C11" i="97"/>
  <c r="Z11" i="97"/>
  <c r="R11" i="97"/>
  <c r="J11" i="97"/>
  <c r="B11" i="97"/>
  <c r="G11" i="97"/>
  <c r="AC11" i="97"/>
  <c r="U11" i="97"/>
  <c r="F11" i="97"/>
  <c r="AA11" i="97"/>
  <c r="Y19" i="97"/>
  <c r="Y27" i="97" s="1"/>
  <c r="Q19" i="97"/>
  <c r="Q27" i="97" s="1"/>
  <c r="K19" i="97"/>
  <c r="K27" i="97" s="1"/>
  <c r="K98" i="97" s="1"/>
  <c r="C19" i="97"/>
  <c r="C27" i="97" s="1"/>
  <c r="AB19" i="97"/>
  <c r="AB27" i="97" s="1"/>
  <c r="AB98" i="97" s="1"/>
  <c r="X19" i="97"/>
  <c r="X27" i="97" s="1"/>
  <c r="P19" i="97"/>
  <c r="P27" i="97" s="1"/>
  <c r="Z19" i="97"/>
  <c r="Z27" i="97" s="1"/>
  <c r="R19" i="97"/>
  <c r="R130" i="97" s="1"/>
  <c r="R138" i="97" s="1"/>
  <c r="B19" i="97"/>
  <c r="B130" i="97" s="1"/>
  <c r="B138" i="97" s="1"/>
  <c r="T11" i="97"/>
  <c r="Y11" i="97"/>
  <c r="Q11" i="97"/>
  <c r="I11" i="97"/>
  <c r="I19" i="97"/>
  <c r="I27" i="97" s="1"/>
  <c r="J19" i="97"/>
  <c r="J130" i="97" s="1"/>
  <c r="J138" i="97" s="1"/>
  <c r="H19" i="97"/>
  <c r="AA19" i="97"/>
  <c r="AA27" i="97" s="1"/>
  <c r="S19" i="97"/>
  <c r="W11" i="97"/>
  <c r="O11" i="97"/>
  <c r="N130" i="97"/>
  <c r="N138" i="97" s="1"/>
  <c r="M130" i="97"/>
  <c r="M138" i="97" s="1"/>
  <c r="N88" i="97"/>
  <c r="N98" i="97" s="1"/>
  <c r="AA88" i="97"/>
  <c r="E130" i="97"/>
  <c r="E138" i="97" s="1"/>
  <c r="O130" i="97"/>
  <c r="O138" i="97" s="1"/>
  <c r="C125" i="97"/>
  <c r="AD11" i="97"/>
  <c r="D27" i="97"/>
  <c r="F88" i="97"/>
  <c r="F98" i="97" s="1"/>
  <c r="W88" i="97"/>
  <c r="G88" i="97"/>
  <c r="C88" i="97"/>
  <c r="V11" i="97"/>
  <c r="Y88" i="97"/>
  <c r="V88" i="97"/>
  <c r="J88" i="97"/>
  <c r="I88" i="97"/>
  <c r="N11" i="97"/>
  <c r="AH148" i="97"/>
  <c r="AI148" i="97"/>
  <c r="AJ148" i="97"/>
  <c r="AK148" i="97"/>
  <c r="AL148" i="97"/>
  <c r="AG148" i="97"/>
  <c r="A151" i="97"/>
  <c r="A150" i="97"/>
  <c r="A149" i="97"/>
  <c r="A147" i="97"/>
  <c r="AG150" i="97"/>
  <c r="AH150" i="97"/>
  <c r="AI150" i="97"/>
  <c r="AJ150" i="97"/>
  <c r="AK150" i="97"/>
  <c r="AL150" i="97"/>
  <c r="AF77" i="97"/>
  <c r="AF135" i="97" s="1"/>
  <c r="AH77" i="97"/>
  <c r="AH135" i="97" s="1"/>
  <c r="AH149" i="97" s="1"/>
  <c r="AI77" i="97"/>
  <c r="AI135" i="97" s="1"/>
  <c r="AI149" i="97" s="1"/>
  <c r="AJ77" i="97"/>
  <c r="AJ135" i="97" s="1"/>
  <c r="AJ149" i="97" s="1"/>
  <c r="AK77" i="97"/>
  <c r="AK135" i="97" s="1"/>
  <c r="AK149" i="97" s="1"/>
  <c r="AL77" i="97"/>
  <c r="AL135" i="97" s="1"/>
  <c r="AL149" i="97" s="1"/>
  <c r="AF71" i="97"/>
  <c r="AF134" i="97" s="1"/>
  <c r="AG71" i="97"/>
  <c r="AG134" i="97" s="1"/>
  <c r="AH71" i="97"/>
  <c r="AH134" i="97" s="1"/>
  <c r="AI71" i="97"/>
  <c r="AI134" i="97" s="1"/>
  <c r="AJ71" i="97"/>
  <c r="AJ134" i="97" s="1"/>
  <c r="AE71" i="97"/>
  <c r="AE134" i="97" s="1"/>
  <c r="L130" i="97" l="1"/>
  <c r="L138" i="97" s="1"/>
  <c r="X98" i="97"/>
  <c r="V130" i="97"/>
  <c r="V138" i="97" s="1"/>
  <c r="AD130" i="97"/>
  <c r="AD138" i="97" s="1"/>
  <c r="AD139" i="97" s="1"/>
  <c r="P130" i="97"/>
  <c r="P138" i="97" s="1"/>
  <c r="AC130" i="97"/>
  <c r="AC138" i="97" s="1"/>
  <c r="Z98" i="97"/>
  <c r="O98" i="97"/>
  <c r="J98" i="97"/>
  <c r="J139" i="97" s="1"/>
  <c r="W27" i="97"/>
  <c r="W98" i="97" s="1"/>
  <c r="W139" i="97" s="1"/>
  <c r="G130" i="97"/>
  <c r="G138" i="97" s="1"/>
  <c r="E101" i="97"/>
  <c r="F101" i="97" s="1"/>
  <c r="V98" i="97"/>
  <c r="J27" i="97"/>
  <c r="G98" i="97"/>
  <c r="T98" i="97"/>
  <c r="D98" i="97"/>
  <c r="D139" i="97" s="1"/>
  <c r="Q98" i="97"/>
  <c r="X130" i="97"/>
  <c r="X138" i="97" s="1"/>
  <c r="M103" i="97"/>
  <c r="N103" i="97" s="1"/>
  <c r="U130" i="97"/>
  <c r="U138" i="97" s="1"/>
  <c r="U139" i="97" s="1"/>
  <c r="P98" i="97"/>
  <c r="T130" i="97"/>
  <c r="T138" i="97" s="1"/>
  <c r="AC98" i="97"/>
  <c r="L98" i="97"/>
  <c r="AB130" i="97"/>
  <c r="AB138" i="97" s="1"/>
  <c r="AB139" i="97" s="1"/>
  <c r="AA98" i="97"/>
  <c r="Q130" i="97"/>
  <c r="Q138" i="97" s="1"/>
  <c r="E102" i="97"/>
  <c r="F102" i="97" s="1"/>
  <c r="B27" i="97"/>
  <c r="B98" i="97" s="1"/>
  <c r="B139" i="97" s="1"/>
  <c r="K130" i="97"/>
  <c r="K138" i="97" s="1"/>
  <c r="K139" i="97" s="1"/>
  <c r="R27" i="97"/>
  <c r="R98" i="97" s="1"/>
  <c r="R139" i="97" s="1"/>
  <c r="Y130" i="97"/>
  <c r="Y138" i="97" s="1"/>
  <c r="C98" i="97"/>
  <c r="C99" i="97" s="1"/>
  <c r="D93" i="97" s="1"/>
  <c r="Y98" i="97"/>
  <c r="C130" i="97"/>
  <c r="C138" i="97" s="1"/>
  <c r="Z130" i="97"/>
  <c r="Z138" i="97" s="1"/>
  <c r="Z139" i="97" s="1"/>
  <c r="I98" i="97"/>
  <c r="S27" i="97"/>
  <c r="S98" i="97" s="1"/>
  <c r="S130" i="97"/>
  <c r="S138" i="97" s="1"/>
  <c r="AA130" i="97"/>
  <c r="AA138" i="97" s="1"/>
  <c r="AA139" i="97" s="1"/>
  <c r="H27" i="97"/>
  <c r="H98" i="97" s="1"/>
  <c r="H130" i="97"/>
  <c r="H138" i="97" s="1"/>
  <c r="I130" i="97"/>
  <c r="I138" i="97" s="1"/>
  <c r="M139" i="97"/>
  <c r="F139" i="97"/>
  <c r="E139" i="97"/>
  <c r="O139" i="97"/>
  <c r="N139" i="97"/>
  <c r="AG156" i="97"/>
  <c r="AJ156" i="97"/>
  <c r="AH156" i="97"/>
  <c r="AI156" i="97"/>
  <c r="AM204" i="96"/>
  <c r="AN204" i="96"/>
  <c r="AL204" i="96"/>
  <c r="AF120" i="97"/>
  <c r="AF125" i="97" s="1"/>
  <c r="AG120" i="97"/>
  <c r="AG125" i="97" s="1"/>
  <c r="AH120" i="97"/>
  <c r="AH125" i="97" s="1"/>
  <c r="AI120" i="97"/>
  <c r="AI125" i="97" s="1"/>
  <c r="AJ120" i="97"/>
  <c r="AJ125" i="97" s="1"/>
  <c r="AK120" i="97"/>
  <c r="AK125" i="97" s="1"/>
  <c r="AL120" i="97"/>
  <c r="AL125" i="97" s="1"/>
  <c r="AE120" i="97"/>
  <c r="AE125" i="97" s="1"/>
  <c r="AF119" i="97"/>
  <c r="AG119" i="97"/>
  <c r="AH119" i="97"/>
  <c r="AI119" i="97"/>
  <c r="AJ119" i="97"/>
  <c r="AK119" i="97"/>
  <c r="AL119" i="97"/>
  <c r="AE119" i="97"/>
  <c r="AL68" i="97"/>
  <c r="AL71" i="97" s="1"/>
  <c r="AK68" i="97"/>
  <c r="AK71" i="97" s="1"/>
  <c r="AO223" i="96"/>
  <c r="AP223" i="96"/>
  <c r="AO195" i="96"/>
  <c r="AP195" i="96"/>
  <c r="AO167" i="96"/>
  <c r="AP167" i="96"/>
  <c r="AO139" i="96"/>
  <c r="AP139" i="96"/>
  <c r="AO111" i="96"/>
  <c r="AP111" i="96"/>
  <c r="AP26" i="96"/>
  <c r="AO26" i="96"/>
  <c r="AO54" i="96"/>
  <c r="AP54" i="96"/>
  <c r="AP83" i="96"/>
  <c r="AO83" i="96"/>
  <c r="AM26" i="96"/>
  <c r="AN26" i="96"/>
  <c r="AM29" i="96"/>
  <c r="AN29" i="96"/>
  <c r="AM41" i="96"/>
  <c r="AM45" i="96"/>
  <c r="AM50" i="96"/>
  <c r="AM54" i="96" s="1"/>
  <c r="AN50" i="96"/>
  <c r="AN54" i="96"/>
  <c r="AM58" i="96"/>
  <c r="AM86" i="96" s="1"/>
  <c r="AM114" i="96" s="1"/>
  <c r="AM142" i="96" s="1"/>
  <c r="AM170" i="96" s="1"/>
  <c r="AM198" i="96" s="1"/>
  <c r="AN58" i="96"/>
  <c r="AN86" i="96" s="1"/>
  <c r="AN114" i="96" s="1"/>
  <c r="AN142" i="96" s="1"/>
  <c r="AN170" i="96" s="1"/>
  <c r="AN198" i="96" s="1"/>
  <c r="AM83" i="96"/>
  <c r="AN83" i="96"/>
  <c r="AM111" i="96"/>
  <c r="AN111" i="96"/>
  <c r="AM139" i="96"/>
  <c r="AN139" i="96"/>
  <c r="AM167" i="96"/>
  <c r="AN167" i="96"/>
  <c r="AO29" i="96"/>
  <c r="AO58" i="96"/>
  <c r="AO86" i="96" s="1"/>
  <c r="AO114" i="96" s="1"/>
  <c r="AO142" i="96" s="1"/>
  <c r="AO170" i="96" s="1"/>
  <c r="AO198" i="96" s="1"/>
  <c r="AP58" i="96"/>
  <c r="AP86" i="96" s="1"/>
  <c r="AP114" i="96" s="1"/>
  <c r="AP142" i="96" s="1"/>
  <c r="AP170" i="96" s="1"/>
  <c r="AP198" i="96" s="1"/>
  <c r="AP203" i="96"/>
  <c r="AN201" i="96"/>
  <c r="AO201" i="96"/>
  <c r="AM201" i="96"/>
  <c r="AO202" i="96"/>
  <c r="AL223" i="96"/>
  <c r="AL17" i="97" s="1"/>
  <c r="AM195" i="96"/>
  <c r="AN195" i="96"/>
  <c r="AL167" i="96"/>
  <c r="AL16" i="97" s="1"/>
  <c r="AK83" i="96"/>
  <c r="AL83" i="96"/>
  <c r="AK111" i="96"/>
  <c r="AL111" i="96"/>
  <c r="AJ6" i="97"/>
  <c r="AL6" i="97"/>
  <c r="AJ7" i="97"/>
  <c r="AK7" i="97"/>
  <c r="AL7" i="97"/>
  <c r="AJ8" i="97"/>
  <c r="AK8" i="97"/>
  <c r="AL8" i="97"/>
  <c r="AJ9" i="97"/>
  <c r="AL9" i="97"/>
  <c r="AJ14" i="97"/>
  <c r="AK14" i="97"/>
  <c r="AL14" i="97"/>
  <c r="AJ15" i="97"/>
  <c r="AK15" i="97"/>
  <c r="AL15" i="97"/>
  <c r="AJ16" i="97"/>
  <c r="AK16" i="97"/>
  <c r="AJ17" i="97"/>
  <c r="AK17" i="97"/>
  <c r="AJ36" i="97"/>
  <c r="AJ52" i="97" s="1"/>
  <c r="AK36" i="97"/>
  <c r="AK52" i="97" s="1"/>
  <c r="AL36" i="97"/>
  <c r="AL52" i="97" s="1"/>
  <c r="AJ81" i="97"/>
  <c r="AJ137" i="97" s="1"/>
  <c r="AK81" i="97"/>
  <c r="AK137" i="97" s="1"/>
  <c r="AL81" i="97"/>
  <c r="AL137" i="97" s="1"/>
  <c r="AJ59" i="97"/>
  <c r="AK59" i="97"/>
  <c r="AL59" i="97"/>
  <c r="AJ62" i="97"/>
  <c r="AK62" i="97"/>
  <c r="AL62" i="97"/>
  <c r="AJ117" i="97"/>
  <c r="AK117" i="97"/>
  <c r="AL117" i="97"/>
  <c r="AH117" i="97"/>
  <c r="AI117" i="97"/>
  <c r="AG117" i="97"/>
  <c r="AI223" i="96"/>
  <c r="AI17" i="97" s="1"/>
  <c r="K223" i="96"/>
  <c r="F223" i="96"/>
  <c r="AK223" i="96"/>
  <c r="AJ223" i="96"/>
  <c r="AH223" i="96"/>
  <c r="AH17" i="97"/>
  <c r="AG223" i="96"/>
  <c r="AG17" i="97" s="1"/>
  <c r="AF223" i="96"/>
  <c r="AE223" i="96"/>
  <c r="AD223" i="96"/>
  <c r="AC223" i="96"/>
  <c r="AB223" i="96"/>
  <c r="AA223" i="96"/>
  <c r="Z223" i="96"/>
  <c r="Y223" i="96"/>
  <c r="X223" i="96"/>
  <c r="W223" i="96"/>
  <c r="V223" i="96"/>
  <c r="U223" i="96"/>
  <c r="T223" i="96"/>
  <c r="S223" i="96"/>
  <c r="R223" i="96"/>
  <c r="Q223" i="96"/>
  <c r="P223" i="96"/>
  <c r="O223" i="96"/>
  <c r="N223" i="96"/>
  <c r="M223" i="96"/>
  <c r="L223" i="96"/>
  <c r="J223" i="96"/>
  <c r="I223" i="96"/>
  <c r="H223" i="96"/>
  <c r="G223" i="96"/>
  <c r="E223" i="96"/>
  <c r="D223" i="96"/>
  <c r="C223" i="96"/>
  <c r="B223" i="96"/>
  <c r="BC198" i="96"/>
  <c r="BB198" i="96"/>
  <c r="BA198" i="96"/>
  <c r="AZ198" i="96"/>
  <c r="AY198" i="96"/>
  <c r="AX198" i="96"/>
  <c r="AW198" i="96"/>
  <c r="AV198" i="96"/>
  <c r="AU198" i="96"/>
  <c r="AL195" i="96"/>
  <c r="AK195" i="96"/>
  <c r="AK9" i="97" s="1"/>
  <c r="AJ195" i="96"/>
  <c r="AI195" i="96"/>
  <c r="AI9" i="97"/>
  <c r="AH195" i="96"/>
  <c r="AH9" i="97" s="1"/>
  <c r="AG195" i="96"/>
  <c r="AG9" i="97" s="1"/>
  <c r="AF195" i="96"/>
  <c r="AE195" i="96"/>
  <c r="AD195" i="96"/>
  <c r="AC195" i="96"/>
  <c r="AB195" i="96"/>
  <c r="AA195" i="96"/>
  <c r="Z195" i="96"/>
  <c r="Y195" i="96"/>
  <c r="X195" i="96"/>
  <c r="W195" i="96"/>
  <c r="V195" i="96"/>
  <c r="U195" i="96"/>
  <c r="T195" i="96"/>
  <c r="S195" i="96"/>
  <c r="R195" i="96"/>
  <c r="Q195" i="96"/>
  <c r="P195" i="96"/>
  <c r="O195" i="96"/>
  <c r="N195" i="96"/>
  <c r="M195" i="96"/>
  <c r="L195" i="96"/>
  <c r="K195" i="96"/>
  <c r="J195" i="96"/>
  <c r="I195" i="96"/>
  <c r="H195" i="96"/>
  <c r="G195" i="96"/>
  <c r="F195" i="96"/>
  <c r="E195" i="96"/>
  <c r="D195" i="96"/>
  <c r="C195" i="96"/>
  <c r="B195" i="96"/>
  <c r="AG75" i="97"/>
  <c r="AG77" i="97" s="1"/>
  <c r="AG135" i="97" s="1"/>
  <c r="AG149" i="97" s="1"/>
  <c r="AJ22" i="96"/>
  <c r="AL41" i="96"/>
  <c r="AK41" i="96"/>
  <c r="AL45" i="96"/>
  <c r="AK45" i="96"/>
  <c r="AH23" i="96"/>
  <c r="AK51" i="96"/>
  <c r="AK48" i="96"/>
  <c r="AH20" i="96"/>
  <c r="AG26" i="96"/>
  <c r="AG6" i="97" s="1"/>
  <c r="AH26" i="96"/>
  <c r="AH6" i="97" s="1"/>
  <c r="AI26" i="96"/>
  <c r="AI6" i="97"/>
  <c r="AE22" i="97"/>
  <c r="A28" i="97"/>
  <c r="AE31" i="97"/>
  <c r="AF31" i="97"/>
  <c r="AI31" i="97"/>
  <c r="AE33" i="97"/>
  <c r="AF33" i="97"/>
  <c r="AE34" i="97"/>
  <c r="AF34" i="97"/>
  <c r="AG34" i="97"/>
  <c r="AE36" i="97"/>
  <c r="AF36" i="97"/>
  <c r="AG36" i="97"/>
  <c r="AH36" i="97"/>
  <c r="AI36" i="97"/>
  <c r="AE81" i="97"/>
  <c r="AE137" i="97" s="1"/>
  <c r="AF81" i="97"/>
  <c r="AF137" i="97" s="1"/>
  <c r="AG81" i="97"/>
  <c r="AG137" i="97" s="1"/>
  <c r="AH81" i="97"/>
  <c r="AH137" i="97" s="1"/>
  <c r="AI81" i="97"/>
  <c r="AI137" i="97" s="1"/>
  <c r="AF63" i="97"/>
  <c r="AE42" i="97"/>
  <c r="AF42" i="97"/>
  <c r="AG42" i="97"/>
  <c r="AH42" i="97"/>
  <c r="AE48" i="97"/>
  <c r="AF48" i="97"/>
  <c r="AG48" i="97"/>
  <c r="AE59" i="97"/>
  <c r="AF59" i="97"/>
  <c r="AG59" i="97"/>
  <c r="AH59" i="97"/>
  <c r="AI59" i="97"/>
  <c r="AE62" i="97"/>
  <c r="AF62" i="97"/>
  <c r="AG62" i="97"/>
  <c r="AH62" i="97"/>
  <c r="AI62" i="97"/>
  <c r="AE75" i="97"/>
  <c r="AE77" i="97" s="1"/>
  <c r="AE135" i="97" s="1"/>
  <c r="A91" i="97"/>
  <c r="A109" i="97"/>
  <c r="A110" i="97"/>
  <c r="A111" i="97"/>
  <c r="A112" i="97"/>
  <c r="AE117" i="97"/>
  <c r="AF117" i="97"/>
  <c r="O5" i="96"/>
  <c r="O26" i="96" s="1"/>
  <c r="P5" i="96"/>
  <c r="P26" i="96" s="1"/>
  <c r="D6" i="96"/>
  <c r="D26" i="96" s="1"/>
  <c r="H6" i="96"/>
  <c r="J6" i="96"/>
  <c r="M6" i="96"/>
  <c r="M26" i="96"/>
  <c r="P6" i="96"/>
  <c r="Q6" i="96"/>
  <c r="Q26" i="96" s="1"/>
  <c r="T6" i="96"/>
  <c r="V6" i="96"/>
  <c r="V26" i="96"/>
  <c r="H7" i="96"/>
  <c r="M7" i="96"/>
  <c r="U8" i="96"/>
  <c r="U26" i="96" s="1"/>
  <c r="C9" i="96"/>
  <c r="D9" i="96"/>
  <c r="J9" i="96"/>
  <c r="M9" i="96"/>
  <c r="AD9" i="96"/>
  <c r="F10" i="96"/>
  <c r="G10" i="96"/>
  <c r="G26" i="96" s="1"/>
  <c r="H10" i="96"/>
  <c r="I10" i="96"/>
  <c r="I26" i="96"/>
  <c r="J10" i="96"/>
  <c r="K10" i="96"/>
  <c r="K26" i="96" s="1"/>
  <c r="AA10" i="96"/>
  <c r="AA26" i="96" s="1"/>
  <c r="AD10" i="96"/>
  <c r="C12" i="96"/>
  <c r="D12" i="96"/>
  <c r="J12" i="96"/>
  <c r="T12" i="96"/>
  <c r="U12" i="96"/>
  <c r="AA12" i="96"/>
  <c r="AB12" i="96"/>
  <c r="AD12" i="96"/>
  <c r="H14" i="96"/>
  <c r="K14" i="96"/>
  <c r="L14" i="96"/>
  <c r="L26" i="96" s="1"/>
  <c r="T14" i="96"/>
  <c r="V14" i="96"/>
  <c r="I15" i="96"/>
  <c r="P15" i="96"/>
  <c r="J16" i="96"/>
  <c r="L44" i="96" s="1"/>
  <c r="M16" i="96"/>
  <c r="P16" i="96"/>
  <c r="AD16" i="96"/>
  <c r="J17" i="96"/>
  <c r="AE22" i="96"/>
  <c r="AE26" i="96" s="1"/>
  <c r="AE6" i="97" s="1"/>
  <c r="B26" i="96"/>
  <c r="C26" i="96"/>
  <c r="E26" i="96"/>
  <c r="F26" i="96"/>
  <c r="N26" i="96"/>
  <c r="R26" i="96"/>
  <c r="S26" i="96"/>
  <c r="W26" i="96"/>
  <c r="X26" i="96"/>
  <c r="Y26" i="96"/>
  <c r="Z26" i="96"/>
  <c r="AB26" i="96"/>
  <c r="AC26" i="96"/>
  <c r="AF26" i="96"/>
  <c r="AF6" i="97" s="1"/>
  <c r="AJ26" i="96"/>
  <c r="AK26" i="96"/>
  <c r="AL26" i="96"/>
  <c r="W29" i="96"/>
  <c r="X29" i="96"/>
  <c r="Y29" i="96"/>
  <c r="Z29" i="96"/>
  <c r="Z58" i="96"/>
  <c r="Z86" i="96" s="1"/>
  <c r="Z114" i="96"/>
  <c r="Z142" i="96" s="1"/>
  <c r="Z170" i="96" s="1"/>
  <c r="Z198" i="96" s="1"/>
  <c r="AA29" i="96"/>
  <c r="AB29" i="96"/>
  <c r="AC29" i="96"/>
  <c r="AC58" i="96" s="1"/>
  <c r="AD29" i="96"/>
  <c r="AD58" i="96"/>
  <c r="AD86" i="96" s="1"/>
  <c r="AD114" i="96" s="1"/>
  <c r="AD142" i="96" s="1"/>
  <c r="AD170" i="96" s="1"/>
  <c r="AD198" i="96" s="1"/>
  <c r="AE29" i="96"/>
  <c r="AE58" i="96" s="1"/>
  <c r="AE86" i="96" s="1"/>
  <c r="AE114" i="96" s="1"/>
  <c r="AE142" i="96" s="1"/>
  <c r="AE170" i="96" s="1"/>
  <c r="AE198" i="96" s="1"/>
  <c r="AF29" i="96"/>
  <c r="AG29" i="96"/>
  <c r="AG58" i="96" s="1"/>
  <c r="AH29" i="96"/>
  <c r="AH58" i="96" s="1"/>
  <c r="AH86" i="96" s="1"/>
  <c r="AH114" i="96" s="1"/>
  <c r="AH142" i="96" s="1"/>
  <c r="AH170" i="96"/>
  <c r="AH198" i="96" s="1"/>
  <c r="AI29" i="96"/>
  <c r="AI58" i="96" s="1"/>
  <c r="AI86" i="96" s="1"/>
  <c r="AI114" i="96" s="1"/>
  <c r="AI142" i="96" s="1"/>
  <c r="AJ29" i="96"/>
  <c r="AJ58" i="96" s="1"/>
  <c r="AJ86" i="96" s="1"/>
  <c r="AJ114" i="96" s="1"/>
  <c r="AK29" i="96"/>
  <c r="AL29" i="96"/>
  <c r="AL58" i="96" s="1"/>
  <c r="AL86" i="96" s="1"/>
  <c r="AL114" i="96" s="1"/>
  <c r="AL142" i="96" s="1"/>
  <c r="AL170" i="96"/>
  <c r="AL198" i="96" s="1"/>
  <c r="A30" i="96"/>
  <c r="A59" i="96"/>
  <c r="A31" i="96"/>
  <c r="A32" i="96"/>
  <c r="AB32" i="96"/>
  <c r="AC32" i="96"/>
  <c r="AC54" i="96"/>
  <c r="AE32" i="96"/>
  <c r="AF32" i="96"/>
  <c r="A33" i="96"/>
  <c r="Q33" i="96"/>
  <c r="Q54" i="96" s="1"/>
  <c r="S33" i="96"/>
  <c r="T33" i="96"/>
  <c r="AE33" i="96"/>
  <c r="AG33" i="96"/>
  <c r="AG54" i="96" s="1"/>
  <c r="AG14" i="97" s="1"/>
  <c r="AH33" i="96"/>
  <c r="AH54" i="96" s="1"/>
  <c r="AH14" i="97" s="1"/>
  <c r="AI33" i="96"/>
  <c r="AJ33" i="96"/>
  <c r="AK33" i="96"/>
  <c r="AK54" i="96" s="1"/>
  <c r="AL33" i="96"/>
  <c r="A34" i="96"/>
  <c r="A63" i="96" s="1"/>
  <c r="G34" i="96"/>
  <c r="I34" i="96"/>
  <c r="I54" i="96" s="1"/>
  <c r="J34" i="96"/>
  <c r="K34" i="96"/>
  <c r="L34" i="96"/>
  <c r="L54" i="96" s="1"/>
  <c r="M34" i="96"/>
  <c r="N34" i="96"/>
  <c r="O34" i="96"/>
  <c r="P34" i="96"/>
  <c r="S34" i="96"/>
  <c r="T34" i="96"/>
  <c r="V34" i="96"/>
  <c r="V54" i="96"/>
  <c r="X34" i="96"/>
  <c r="Y34" i="96"/>
  <c r="A35" i="96"/>
  <c r="O35" i="96"/>
  <c r="A36" i="96"/>
  <c r="A65" i="96" s="1"/>
  <c r="A93" i="96" s="1"/>
  <c r="S36" i="96"/>
  <c r="Y36" i="96"/>
  <c r="Y54" i="96" s="1"/>
  <c r="A37" i="96"/>
  <c r="D37" i="96"/>
  <c r="G37" i="96"/>
  <c r="G54" i="96" s="1"/>
  <c r="M37" i="96"/>
  <c r="P37" i="96"/>
  <c r="P54" i="96"/>
  <c r="Q37" i="96"/>
  <c r="A38" i="96"/>
  <c r="G38" i="96"/>
  <c r="I38" i="96"/>
  <c r="J38" i="96"/>
  <c r="J54" i="96" s="1"/>
  <c r="K38" i="96"/>
  <c r="N38" i="96"/>
  <c r="A39" i="96"/>
  <c r="A68" i="96" s="1"/>
  <c r="A96" i="96" s="1"/>
  <c r="A124" i="96" s="1"/>
  <c r="K39" i="96"/>
  <c r="M39" i="96"/>
  <c r="A40" i="96"/>
  <c r="A69" i="96" s="1"/>
  <c r="A97" i="96" s="1"/>
  <c r="A125" i="96" s="1"/>
  <c r="A153" i="96" s="1"/>
  <c r="A181" i="96" s="1"/>
  <c r="A209" i="96" s="1"/>
  <c r="G40" i="96"/>
  <c r="X40" i="96"/>
  <c r="X54" i="96" s="1"/>
  <c r="AE40" i="96"/>
  <c r="AE54" i="96" s="1"/>
  <c r="AE14" i="97" s="1"/>
  <c r="AF40" i="96"/>
  <c r="AH40" i="96"/>
  <c r="AI40" i="96"/>
  <c r="AI54" i="96" s="1"/>
  <c r="AI14" i="97" s="1"/>
  <c r="A41" i="96"/>
  <c r="A42" i="96"/>
  <c r="A71" i="96" s="1"/>
  <c r="A99" i="96" s="1"/>
  <c r="A127" i="96" s="1"/>
  <c r="A155" i="96" s="1"/>
  <c r="A183" i="96" s="1"/>
  <c r="A211" i="96" s="1"/>
  <c r="C42" i="96"/>
  <c r="D42" i="96"/>
  <c r="J42" i="96"/>
  <c r="V42" i="96"/>
  <c r="A43" i="96"/>
  <c r="A72" i="96"/>
  <c r="A100" i="96" s="1"/>
  <c r="A128" i="96" s="1"/>
  <c r="A156" i="96" s="1"/>
  <c r="K43" i="96"/>
  <c r="R43" i="96"/>
  <c r="R54" i="96" s="1"/>
  <c r="A44" i="96"/>
  <c r="P44" i="96"/>
  <c r="Q44" i="96"/>
  <c r="A45" i="96"/>
  <c r="O45" i="96"/>
  <c r="A46" i="96"/>
  <c r="K46" i="96"/>
  <c r="O46" i="96"/>
  <c r="AE46" i="96"/>
  <c r="A47" i="96"/>
  <c r="A76" i="96"/>
  <c r="A104" i="96" s="1"/>
  <c r="A132" i="96"/>
  <c r="A160" i="96" s="1"/>
  <c r="A188" i="96" s="1"/>
  <c r="A216" i="96" s="1"/>
  <c r="A48" i="96"/>
  <c r="AJ48" i="96"/>
  <c r="A49" i="96"/>
  <c r="A50" i="96"/>
  <c r="A79" i="96"/>
  <c r="A107" i="96" s="1"/>
  <c r="A135" i="96" s="1"/>
  <c r="A163" i="96" s="1"/>
  <c r="A191" i="96" s="1"/>
  <c r="A219" i="96" s="1"/>
  <c r="AF50" i="96"/>
  <c r="AG50" i="96"/>
  <c r="A51" i="96"/>
  <c r="A80" i="96" s="1"/>
  <c r="A108" i="96" s="1"/>
  <c r="A136" i="96" s="1"/>
  <c r="A164" i="96" s="1"/>
  <c r="A192" i="96" s="1"/>
  <c r="A220" i="96" s="1"/>
  <c r="A52" i="96"/>
  <c r="A81" i="96" s="1"/>
  <c r="A109" i="96" s="1"/>
  <c r="A137" i="96" s="1"/>
  <c r="A165" i="96" s="1"/>
  <c r="A53" i="96"/>
  <c r="B54" i="96"/>
  <c r="C54" i="96"/>
  <c r="D54" i="96"/>
  <c r="E54" i="96"/>
  <c r="F54" i="96"/>
  <c r="H54" i="96"/>
  <c r="K54" i="96"/>
  <c r="S54" i="96"/>
  <c r="T54" i="96"/>
  <c r="U54" i="96"/>
  <c r="W54" i="96"/>
  <c r="Z54" i="96"/>
  <c r="AA54" i="96"/>
  <c r="AB54" i="96"/>
  <c r="AD54" i="96"/>
  <c r="AJ54" i="96"/>
  <c r="W58" i="96"/>
  <c r="X58" i="96"/>
  <c r="X86" i="96" s="1"/>
  <c r="X114" i="96" s="1"/>
  <c r="X142" i="96" s="1"/>
  <c r="X170" i="96" s="1"/>
  <c r="X198" i="96" s="1"/>
  <c r="Y58" i="96"/>
  <c r="Y86" i="96" s="1"/>
  <c r="Y114" i="96" s="1"/>
  <c r="Y142" i="96" s="1"/>
  <c r="Y170" i="96" s="1"/>
  <c r="Y198" i="96" s="1"/>
  <c r="AA58" i="96"/>
  <c r="AB58" i="96"/>
  <c r="AB86" i="96" s="1"/>
  <c r="AB114" i="96" s="1"/>
  <c r="AB142" i="96" s="1"/>
  <c r="AF58" i="96"/>
  <c r="AF86" i="96"/>
  <c r="AF114" i="96" s="1"/>
  <c r="AF142" i="96" s="1"/>
  <c r="AK58" i="96"/>
  <c r="AQ58" i="96"/>
  <c r="AR58" i="96"/>
  <c r="AS58" i="96"/>
  <c r="A60" i="96"/>
  <c r="A61" i="96"/>
  <c r="A89" i="96" s="1"/>
  <c r="AB61" i="96"/>
  <c r="AC61" i="96"/>
  <c r="AC83" i="96" s="1"/>
  <c r="A62" i="96"/>
  <c r="A90" i="96" s="1"/>
  <c r="A91" i="96"/>
  <c r="A119" i="96" s="1"/>
  <c r="A147" i="96" s="1"/>
  <c r="A175" i="96" s="1"/>
  <c r="A203" i="96" s="1"/>
  <c r="X63" i="96"/>
  <c r="A64" i="96"/>
  <c r="A92" i="96" s="1"/>
  <c r="A120" i="96" s="1"/>
  <c r="A148" i="96" s="1"/>
  <c r="A176" i="96" s="1"/>
  <c r="A204" i="96" s="1"/>
  <c r="A66" i="96"/>
  <c r="A94" i="96" s="1"/>
  <c r="A122" i="96" s="1"/>
  <c r="A150" i="96" s="1"/>
  <c r="A178" i="96" s="1"/>
  <c r="A206" i="96" s="1"/>
  <c r="C66" i="96"/>
  <c r="C83" i="96" s="1"/>
  <c r="X66" i="96"/>
  <c r="X83" i="96"/>
  <c r="A67" i="96"/>
  <c r="J67" i="96"/>
  <c r="J83" i="96"/>
  <c r="C68" i="96"/>
  <c r="I68" i="96"/>
  <c r="F69" i="96"/>
  <c r="F83" i="96" s="1"/>
  <c r="X69" i="96"/>
  <c r="Y69" i="96"/>
  <c r="AA69" i="96"/>
  <c r="AA83" i="96" s="1"/>
  <c r="AC69" i="96"/>
  <c r="AE69" i="96"/>
  <c r="AE83" i="96"/>
  <c r="AE7" i="97" s="1"/>
  <c r="A70" i="96"/>
  <c r="A73" i="96"/>
  <c r="I73" i="96"/>
  <c r="A74" i="96"/>
  <c r="A102" i="96" s="1"/>
  <c r="A130" i="96" s="1"/>
  <c r="A158" i="96" s="1"/>
  <c r="A75" i="96"/>
  <c r="A103" i="96" s="1"/>
  <c r="A131" i="96" s="1"/>
  <c r="A159" i="96" s="1"/>
  <c r="A77" i="96"/>
  <c r="A78" i="96"/>
  <c r="A106" i="96" s="1"/>
  <c r="A134" i="96" s="1"/>
  <c r="A162" i="96" s="1"/>
  <c r="A190" i="96" s="1"/>
  <c r="A218" i="96" s="1"/>
  <c r="AC79" i="96"/>
  <c r="AF79" i="96"/>
  <c r="A82" i="96"/>
  <c r="A110" i="96" s="1"/>
  <c r="A138" i="96" s="1"/>
  <c r="B83" i="96"/>
  <c r="D83" i="96"/>
  <c r="E83" i="96"/>
  <c r="G83" i="96"/>
  <c r="H83" i="96"/>
  <c r="I83" i="96"/>
  <c r="K83" i="96"/>
  <c r="L83" i="96"/>
  <c r="M83" i="96"/>
  <c r="N83" i="96"/>
  <c r="O83" i="96"/>
  <c r="P83" i="96"/>
  <c r="Q83" i="96"/>
  <c r="R83" i="96"/>
  <c r="S83" i="96"/>
  <c r="T83" i="96"/>
  <c r="U83" i="96"/>
  <c r="V83" i="96"/>
  <c r="W83" i="96"/>
  <c r="Y83" i="96"/>
  <c r="Z83" i="96"/>
  <c r="AB83" i="96"/>
  <c r="AD83" i="96"/>
  <c r="AF83" i="96"/>
  <c r="AF7" i="97" s="1"/>
  <c r="AG83" i="96"/>
  <c r="AG7" i="97" s="1"/>
  <c r="AH83" i="96"/>
  <c r="AH7" i="97"/>
  <c r="AI83" i="96"/>
  <c r="AI7" i="97"/>
  <c r="AJ83" i="96"/>
  <c r="W86" i="96"/>
  <c r="W114" i="96"/>
  <c r="W142" i="96" s="1"/>
  <c r="W170" i="96" s="1"/>
  <c r="AA86" i="96"/>
  <c r="AA114" i="96" s="1"/>
  <c r="AA142" i="96" s="1"/>
  <c r="AA170" i="96" s="1"/>
  <c r="AC86" i="96"/>
  <c r="AC114" i="96" s="1"/>
  <c r="AC142" i="96" s="1"/>
  <c r="AG86" i="96"/>
  <c r="AG114" i="96" s="1"/>
  <c r="AG142" i="96" s="1"/>
  <c r="AG170" i="96" s="1"/>
  <c r="AG198" i="96" s="1"/>
  <c r="AK86" i="96"/>
  <c r="AQ86" i="96"/>
  <c r="AQ114" i="96" s="1"/>
  <c r="AQ142" i="96" s="1"/>
  <c r="AQ170" i="96" s="1"/>
  <c r="AQ198" i="96" s="1"/>
  <c r="A87" i="96"/>
  <c r="A88" i="96"/>
  <c r="A116" i="96" s="1"/>
  <c r="A144" i="96" s="1"/>
  <c r="W90" i="96"/>
  <c r="AB90" i="96"/>
  <c r="AB111" i="96" s="1"/>
  <c r="F91" i="96"/>
  <c r="F111" i="96" s="1"/>
  <c r="AA91" i="96"/>
  <c r="F94" i="96"/>
  <c r="X94" i="96"/>
  <c r="X111" i="96"/>
  <c r="AB94" i="96"/>
  <c r="A95" i="96"/>
  <c r="A123" i="96" s="1"/>
  <c r="A151" i="96" s="1"/>
  <c r="K95" i="96"/>
  <c r="M95" i="96"/>
  <c r="M111" i="96"/>
  <c r="F96" i="96"/>
  <c r="F97" i="96"/>
  <c r="T97" i="96"/>
  <c r="U97" i="96"/>
  <c r="U111" i="96"/>
  <c r="W97" i="96"/>
  <c r="AA97" i="96"/>
  <c r="AA111" i="96" s="1"/>
  <c r="AC97" i="96"/>
  <c r="AD97" i="96"/>
  <c r="AD111" i="96" s="1"/>
  <c r="AE97" i="96"/>
  <c r="A98" i="96"/>
  <c r="S99" i="96"/>
  <c r="S111" i="96" s="1"/>
  <c r="Z99" i="96"/>
  <c r="A184" i="96"/>
  <c r="A212" i="96" s="1"/>
  <c r="A101" i="96"/>
  <c r="A129" i="96" s="1"/>
  <c r="A157" i="96" s="1"/>
  <c r="A185" i="96" s="1"/>
  <c r="A105" i="96"/>
  <c r="B111" i="96"/>
  <c r="C111" i="96"/>
  <c r="D111" i="96"/>
  <c r="E111" i="96"/>
  <c r="G111" i="96"/>
  <c r="H111" i="96"/>
  <c r="I111" i="96"/>
  <c r="J111" i="96"/>
  <c r="K111" i="96"/>
  <c r="L111" i="96"/>
  <c r="N111" i="96"/>
  <c r="O111" i="96"/>
  <c r="P111" i="96"/>
  <c r="Q111" i="96"/>
  <c r="R111" i="96"/>
  <c r="T111" i="96"/>
  <c r="V111" i="96"/>
  <c r="W111" i="96"/>
  <c r="Y111" i="96"/>
  <c r="Z111" i="96"/>
  <c r="AC111" i="96"/>
  <c r="AG111" i="96"/>
  <c r="AG15" i="97"/>
  <c r="AH111" i="96"/>
  <c r="AH15" i="97" s="1"/>
  <c r="AI111" i="96"/>
  <c r="AI15" i="97" s="1"/>
  <c r="AJ111" i="96"/>
  <c r="AI170" i="96"/>
  <c r="AI198" i="96" s="1"/>
  <c r="AK114" i="96"/>
  <c r="AR114" i="96"/>
  <c r="AR142" i="96" s="1"/>
  <c r="AR170" i="96" s="1"/>
  <c r="AR198" i="96" s="1"/>
  <c r="AS114" i="96"/>
  <c r="AT114" i="96"/>
  <c r="A115" i="96"/>
  <c r="A143" i="96" s="1"/>
  <c r="A171" i="96" s="1"/>
  <c r="A199" i="96" s="1"/>
  <c r="A117" i="96"/>
  <c r="A145" i="96" s="1"/>
  <c r="A118" i="96"/>
  <c r="A146" i="96" s="1"/>
  <c r="A174" i="96" s="1"/>
  <c r="A202" i="96" s="1"/>
  <c r="AF119" i="96"/>
  <c r="A121" i="96"/>
  <c r="Y125" i="96"/>
  <c r="Y139" i="96" s="1"/>
  <c r="AB125" i="96"/>
  <c r="AD125" i="96"/>
  <c r="AF125" i="96"/>
  <c r="A126" i="96"/>
  <c r="AF129" i="96"/>
  <c r="A133" i="96"/>
  <c r="A161" i="96" s="1"/>
  <c r="AF133" i="96"/>
  <c r="B139" i="96"/>
  <c r="C139" i="96"/>
  <c r="D139" i="96"/>
  <c r="E139" i="96"/>
  <c r="F139" i="96"/>
  <c r="G139" i="96"/>
  <c r="H139" i="96"/>
  <c r="I139" i="96"/>
  <c r="J139" i="96"/>
  <c r="K139" i="96"/>
  <c r="L139" i="96"/>
  <c r="M139" i="96"/>
  <c r="N139" i="96"/>
  <c r="O139" i="96"/>
  <c r="P139" i="96"/>
  <c r="Q139" i="96"/>
  <c r="R139" i="96"/>
  <c r="S139" i="96"/>
  <c r="T139" i="96"/>
  <c r="U139" i="96"/>
  <c r="V139" i="96"/>
  <c r="W139" i="96"/>
  <c r="X139" i="96"/>
  <c r="Z139" i="96"/>
  <c r="AA139" i="96"/>
  <c r="AC139" i="96"/>
  <c r="AD139" i="96"/>
  <c r="AE139" i="96"/>
  <c r="AE8" i="97"/>
  <c r="AG139" i="96"/>
  <c r="AG8" i="97" s="1"/>
  <c r="AH139" i="96"/>
  <c r="AH8" i="97" s="1"/>
  <c r="AI139" i="96"/>
  <c r="AI8" i="97"/>
  <c r="AJ139" i="96"/>
  <c r="AK139" i="96"/>
  <c r="AL139" i="96"/>
  <c r="W198" i="96"/>
  <c r="AA198" i="96"/>
  <c r="AB170" i="96"/>
  <c r="AB198" i="96"/>
  <c r="AC170" i="96"/>
  <c r="AC198" i="96" s="1"/>
  <c r="AF170" i="96"/>
  <c r="AF198" i="96" s="1"/>
  <c r="AJ142" i="96"/>
  <c r="AJ170" i="96" s="1"/>
  <c r="AJ198" i="96" s="1"/>
  <c r="AK142" i="96"/>
  <c r="AK170" i="96" s="1"/>
  <c r="AK198" i="96" s="1"/>
  <c r="AS142" i="96"/>
  <c r="AS170" i="96"/>
  <c r="AS198" i="96" s="1"/>
  <c r="AT142" i="96"/>
  <c r="AT170" i="96" s="1"/>
  <c r="AT198" i="96" s="1"/>
  <c r="AU142" i="96"/>
  <c r="AV142" i="96"/>
  <c r="AW142" i="96"/>
  <c r="AX142" i="96"/>
  <c r="AY142" i="96"/>
  <c r="AZ142" i="96"/>
  <c r="BA142" i="96"/>
  <c r="BB142" i="96"/>
  <c r="BC142" i="96"/>
  <c r="A172" i="96"/>
  <c r="A200" i="96" s="1"/>
  <c r="A173" i="96"/>
  <c r="A201" i="96" s="1"/>
  <c r="AC146" i="96"/>
  <c r="A149" i="96"/>
  <c r="A177" i="96" s="1"/>
  <c r="A205" i="96"/>
  <c r="AB149" i="96"/>
  <c r="A179" i="96"/>
  <c r="A207" i="96" s="1"/>
  <c r="A152" i="96"/>
  <c r="A180" i="96"/>
  <c r="A208" i="96" s="1"/>
  <c r="V152" i="96"/>
  <c r="AH153" i="96"/>
  <c r="AH167" i="96"/>
  <c r="AH16" i="97" s="1"/>
  <c r="A154" i="96"/>
  <c r="A182" i="96"/>
  <c r="A210" i="96" s="1"/>
  <c r="AA156" i="96"/>
  <c r="A213" i="96"/>
  <c r="A186" i="96"/>
  <c r="A214" i="96"/>
  <c r="A187" i="96"/>
  <c r="A215" i="96" s="1"/>
  <c r="A189" i="96"/>
  <c r="A217" i="96" s="1"/>
  <c r="AA161" i="96"/>
  <c r="AB161" i="96"/>
  <c r="A193" i="96"/>
  <c r="A221" i="96" s="1"/>
  <c r="AE165" i="96"/>
  <c r="A166" i="96"/>
  <c r="A194" i="96" s="1"/>
  <c r="A222" i="96"/>
  <c r="B167" i="96"/>
  <c r="C167" i="96"/>
  <c r="D167" i="96"/>
  <c r="E167" i="96"/>
  <c r="F167" i="96"/>
  <c r="G167" i="96"/>
  <c r="H167" i="96"/>
  <c r="I167" i="96"/>
  <c r="J167" i="96"/>
  <c r="K167" i="96"/>
  <c r="L167" i="96"/>
  <c r="M167" i="96"/>
  <c r="N167" i="96"/>
  <c r="O167" i="96"/>
  <c r="P167" i="96"/>
  <c r="Q167" i="96"/>
  <c r="R167" i="96"/>
  <c r="S167" i="96"/>
  <c r="T167" i="96"/>
  <c r="U167" i="96"/>
  <c r="V167" i="96"/>
  <c r="W167" i="96"/>
  <c r="X167" i="96"/>
  <c r="Y167" i="96"/>
  <c r="Z167" i="96"/>
  <c r="AA167" i="96"/>
  <c r="AD167" i="96"/>
  <c r="AI167" i="96"/>
  <c r="AI16" i="97" s="1"/>
  <c r="AJ167" i="96"/>
  <c r="AK167" i="96"/>
  <c r="AL50" i="96"/>
  <c r="AL54" i="96"/>
  <c r="AC153" i="96"/>
  <c r="AC167" i="96" s="1"/>
  <c r="AB153" i="96"/>
  <c r="AB167" i="96"/>
  <c r="M44" i="96"/>
  <c r="M54" i="96"/>
  <c r="N44" i="96"/>
  <c r="T26" i="96"/>
  <c r="AD26" i="96"/>
  <c r="AF89" i="96"/>
  <c r="AF111" i="96" s="1"/>
  <c r="AF15" i="97" s="1"/>
  <c r="N46" i="96"/>
  <c r="N54" i="96"/>
  <c r="AC139" i="97" l="1"/>
  <c r="L139" i="97"/>
  <c r="X139" i="97"/>
  <c r="G139" i="97"/>
  <c r="E125" i="97"/>
  <c r="P139" i="97"/>
  <c r="V139" i="97"/>
  <c r="T139" i="97"/>
  <c r="Q139" i="97"/>
  <c r="D99" i="97"/>
  <c r="D106" i="97" s="1"/>
  <c r="C106" i="97"/>
  <c r="C139" i="97"/>
  <c r="Y139" i="97"/>
  <c r="C122" i="97"/>
  <c r="I139" i="97"/>
  <c r="S139" i="97"/>
  <c r="H139" i="97"/>
  <c r="G101" i="97"/>
  <c r="F125" i="97"/>
  <c r="AJ65" i="97"/>
  <c r="AJ131" i="97" s="1"/>
  <c r="O103" i="97"/>
  <c r="G102" i="97"/>
  <c r="AE65" i="97"/>
  <c r="AE131" i="97" s="1"/>
  <c r="AE52" i="97"/>
  <c r="AI52" i="97"/>
  <c r="AL65" i="97"/>
  <c r="AL131" i="97" s="1"/>
  <c r="AH65" i="97"/>
  <c r="AH131" i="97" s="1"/>
  <c r="AK65" i="97"/>
  <c r="AK131" i="97" s="1"/>
  <c r="AG86" i="97"/>
  <c r="AG151" i="97"/>
  <c r="AG152" i="97" s="1"/>
  <c r="AL86" i="97"/>
  <c r="AL151" i="97"/>
  <c r="AH151" i="97"/>
  <c r="AH86" i="97"/>
  <c r="AF86" i="97"/>
  <c r="AH52" i="97"/>
  <c r="AG52" i="97"/>
  <c r="AK86" i="97"/>
  <c r="AK151" i="97"/>
  <c r="AE86" i="97"/>
  <c r="AJ86" i="97"/>
  <c r="AJ151" i="97"/>
  <c r="AL134" i="97"/>
  <c r="AL156" i="97"/>
  <c r="AI65" i="97"/>
  <c r="AI131" i="97" s="1"/>
  <c r="AG65" i="97"/>
  <c r="AG131" i="97" s="1"/>
  <c r="AF52" i="97"/>
  <c r="AF65" i="97"/>
  <c r="AF131" i="97" s="1"/>
  <c r="AI151" i="97"/>
  <c r="AI86" i="97"/>
  <c r="AK134" i="97"/>
  <c r="AK156" i="97"/>
  <c r="AH11" i="97"/>
  <c r="AG11" i="97"/>
  <c r="AI11" i="97"/>
  <c r="AG104" i="97"/>
  <c r="AE11" i="97"/>
  <c r="AI19" i="97"/>
  <c r="AH19" i="97"/>
  <c r="AK19" i="97"/>
  <c r="AK130" i="97" s="1"/>
  <c r="AN223" i="96"/>
  <c r="AM223" i="96"/>
  <c r="AL19" i="97"/>
  <c r="AL130" i="97" s="1"/>
  <c r="AL11" i="97"/>
  <c r="AK11" i="97"/>
  <c r="AJ11" i="97"/>
  <c r="AJ19" i="97"/>
  <c r="AJ130" i="97" s="1"/>
  <c r="AB139" i="96"/>
  <c r="AE153" i="96"/>
  <c r="AE167" i="96" s="1"/>
  <c r="AE16" i="97" s="1"/>
  <c r="AF153" i="96"/>
  <c r="AF167" i="96" s="1"/>
  <c r="AF16" i="97" s="1"/>
  <c r="AG153" i="96"/>
  <c r="AG167" i="96" s="1"/>
  <c r="AG16" i="97" s="1"/>
  <c r="AG19" i="97" s="1"/>
  <c r="H26" i="96"/>
  <c r="AF54" i="96"/>
  <c r="AF14" i="97" s="1"/>
  <c r="J26" i="96"/>
  <c r="AF139" i="96"/>
  <c r="AF8" i="97" s="1"/>
  <c r="AF11" i="97" s="1"/>
  <c r="O54" i="96"/>
  <c r="AE89" i="96"/>
  <c r="AE111" i="96" s="1"/>
  <c r="AE15" i="97" s="1"/>
  <c r="E93" i="97" l="1"/>
  <c r="E99" i="97" s="1"/>
  <c r="F93" i="97" s="1"/>
  <c r="F99" i="97" s="1"/>
  <c r="D122" i="97"/>
  <c r="AJ132" i="97"/>
  <c r="AJ138" i="97" s="1"/>
  <c r="AL132" i="97"/>
  <c r="AL138" i="97" s="1"/>
  <c r="AE88" i="97"/>
  <c r="AJ88" i="97"/>
  <c r="P103" i="97"/>
  <c r="H102" i="97"/>
  <c r="G125" i="97"/>
  <c r="H101" i="97"/>
  <c r="AI130" i="97"/>
  <c r="AI132" i="97" s="1"/>
  <c r="AL88" i="97"/>
  <c r="AG132" i="97"/>
  <c r="AG138" i="97" s="1"/>
  <c r="AK132" i="97"/>
  <c r="AK138" i="97" s="1"/>
  <c r="AK88" i="97"/>
  <c r="AH130" i="97"/>
  <c r="AH132" i="97" s="1"/>
  <c r="AH138" i="97" s="1"/>
  <c r="AI88" i="97"/>
  <c r="AF88" i="97"/>
  <c r="AH88" i="97"/>
  <c r="AM156" i="97"/>
  <c r="AG88" i="97"/>
  <c r="AL27" i="97"/>
  <c r="AI27" i="97"/>
  <c r="AH27" i="97"/>
  <c r="AH104" i="97"/>
  <c r="AE19" i="97"/>
  <c r="AE130" i="97" s="1"/>
  <c r="AF19" i="97"/>
  <c r="AF130" i="97" s="1"/>
  <c r="AF132" i="97" s="1"/>
  <c r="AF138" i="97" s="1"/>
  <c r="AK27" i="97"/>
  <c r="AJ27" i="97"/>
  <c r="AG27" i="97"/>
  <c r="E106" i="97" l="1"/>
  <c r="E122" i="97"/>
  <c r="AL98" i="97"/>
  <c r="AL139" i="97" s="1"/>
  <c r="AI138" i="97"/>
  <c r="AK98" i="97"/>
  <c r="AK139" i="97" s="1"/>
  <c r="G93" i="97"/>
  <c r="G99" i="97" s="1"/>
  <c r="F122" i="97"/>
  <c r="F106" i="97"/>
  <c r="I102" i="97"/>
  <c r="H125" i="97"/>
  <c r="I101" i="97"/>
  <c r="Q103" i="97"/>
  <c r="AI90" i="97"/>
  <c r="AG98" i="97"/>
  <c r="AG139" i="97" s="1"/>
  <c r="AH90" i="97"/>
  <c r="AL90" i="97"/>
  <c r="AI98" i="97"/>
  <c r="AE132" i="97"/>
  <c r="AE138" i="97" s="1"/>
  <c r="AE27" i="97"/>
  <c r="AE98" i="97" s="1"/>
  <c r="AI104" i="97"/>
  <c r="AJ104" i="97" s="1"/>
  <c r="AK104" i="97" s="1"/>
  <c r="AF27" i="97"/>
  <c r="AF98" i="97" s="1"/>
  <c r="AH98" i="97"/>
  <c r="AH139" i="97" s="1"/>
  <c r="AK90" i="97"/>
  <c r="AJ98" i="97"/>
  <c r="AJ90" i="97"/>
  <c r="AG90" i="97"/>
  <c r="AI139" i="97" l="1"/>
  <c r="R103" i="97"/>
  <c r="J102" i="97"/>
  <c r="I125" i="97"/>
  <c r="J101" i="97"/>
  <c r="H93" i="97"/>
  <c r="H99" i="97" s="1"/>
  <c r="G122" i="97"/>
  <c r="G106" i="97"/>
  <c r="AF139" i="97"/>
  <c r="AF90" i="97"/>
  <c r="AL104" i="97"/>
  <c r="AJ139" i="97"/>
  <c r="H106" i="97" l="1"/>
  <c r="I93" i="97"/>
  <c r="I99" i="97" s="1"/>
  <c r="H122" i="97"/>
  <c r="K102" i="97"/>
  <c r="K101" i="97"/>
  <c r="J105" i="97"/>
  <c r="J125" i="97"/>
  <c r="S103" i="97"/>
  <c r="L102" i="97" l="1"/>
  <c r="T103" i="97"/>
  <c r="L101" i="97"/>
  <c r="K125" i="97"/>
  <c r="K105" i="97"/>
  <c r="I106" i="97"/>
  <c r="J93" i="97"/>
  <c r="J99" i="97" s="1"/>
  <c r="I122" i="97"/>
  <c r="K127" i="97" l="1"/>
  <c r="K126" i="97"/>
  <c r="K93" i="97"/>
  <c r="K99" i="97" s="1"/>
  <c r="J122" i="97"/>
  <c r="J106" i="97"/>
  <c r="M102" i="97"/>
  <c r="U103" i="97"/>
  <c r="M101" i="97"/>
  <c r="L125" i="97"/>
  <c r="L105" i="97"/>
  <c r="L126" i="97" l="1"/>
  <c r="N101" i="97"/>
  <c r="M105" i="97"/>
  <c r="M125" i="97"/>
  <c r="V103" i="97"/>
  <c r="L127" i="97"/>
  <c r="N102" i="97"/>
  <c r="K106" i="97"/>
  <c r="L93" i="97"/>
  <c r="L99" i="97" s="1"/>
  <c r="K122" i="97"/>
  <c r="K107" i="97"/>
  <c r="W103" i="97" l="1"/>
  <c r="M93" i="97"/>
  <c r="M99" i="97" s="1"/>
  <c r="L106" i="97"/>
  <c r="L107" i="97"/>
  <c r="L122" i="97"/>
  <c r="M126" i="97"/>
  <c r="O102" i="97"/>
  <c r="N105" i="97"/>
  <c r="N125" i="97"/>
  <c r="O101" i="97"/>
  <c r="M127" i="97"/>
  <c r="N127" i="97" l="1"/>
  <c r="N93" i="97"/>
  <c r="N99" i="97" s="1"/>
  <c r="M122" i="97"/>
  <c r="M106" i="97"/>
  <c r="M107" i="97"/>
  <c r="O105" i="97"/>
  <c r="O125" i="97"/>
  <c r="O126" i="97" s="1"/>
  <c r="P101" i="97"/>
  <c r="P102" i="97"/>
  <c r="X103" i="97"/>
  <c r="N126" i="97"/>
  <c r="O127" i="97" l="1"/>
  <c r="Y103" i="97"/>
  <c r="Q102" i="97"/>
  <c r="P105" i="97"/>
  <c r="P125" i="97"/>
  <c r="Q101" i="97"/>
  <c r="O93" i="97"/>
  <c r="O99" i="97" s="1"/>
  <c r="N122" i="97"/>
  <c r="N106" i="97"/>
  <c r="N107" i="97"/>
  <c r="P127" i="97" l="1"/>
  <c r="O107" i="97"/>
  <c r="P93" i="97"/>
  <c r="P99" i="97" s="1"/>
  <c r="O122" i="97"/>
  <c r="O106" i="97"/>
  <c r="Q105" i="97"/>
  <c r="Q125" i="97"/>
  <c r="R101" i="97"/>
  <c r="R102" i="97"/>
  <c r="P126" i="97"/>
  <c r="Z103" i="97"/>
  <c r="Q126" i="97" l="1"/>
  <c r="S101" i="97"/>
  <c r="R105" i="97"/>
  <c r="R125" i="97"/>
  <c r="P107" i="97"/>
  <c r="P106" i="97"/>
  <c r="P122" i="97"/>
  <c r="Q93" i="97"/>
  <c r="Q99" i="97" s="1"/>
  <c r="Q127" i="97"/>
  <c r="S102" i="97"/>
  <c r="AA103" i="97"/>
  <c r="R126" i="97" l="1"/>
  <c r="R127" i="97"/>
  <c r="AB103" i="97"/>
  <c r="T102" i="97"/>
  <c r="Q107" i="97"/>
  <c r="Q106" i="97"/>
  <c r="Q122" i="97"/>
  <c r="R93" i="97"/>
  <c r="R99" i="97" s="1"/>
  <c r="T101" i="97"/>
  <c r="S125" i="97"/>
  <c r="S105" i="97"/>
  <c r="S127" i="97" l="1"/>
  <c r="U102" i="97"/>
  <c r="S93" i="97"/>
  <c r="S99" i="97" s="1"/>
  <c r="R122" i="97"/>
  <c r="R107" i="97"/>
  <c r="R106" i="97"/>
  <c r="U101" i="97"/>
  <c r="T105" i="97"/>
  <c r="T125" i="97"/>
  <c r="S126" i="97"/>
  <c r="AC103" i="97"/>
  <c r="AE90" i="97"/>
  <c r="AE139" i="97"/>
  <c r="T127" i="97" l="1"/>
  <c r="T126" i="97"/>
  <c r="S106" i="97"/>
  <c r="T93" i="97"/>
  <c r="T99" i="97" s="1"/>
  <c r="S122" i="97"/>
  <c r="S107" i="97"/>
  <c r="V102" i="97"/>
  <c r="AD103" i="97"/>
  <c r="V101" i="97"/>
  <c r="U105" i="97"/>
  <c r="U125" i="97"/>
  <c r="U126" i="97" l="1"/>
  <c r="U127" i="97"/>
  <c r="W102" i="97"/>
  <c r="AE103" i="97"/>
  <c r="V105" i="97"/>
  <c r="W101" i="97"/>
  <c r="V125" i="97"/>
  <c r="U93" i="97"/>
  <c r="U99" i="97" s="1"/>
  <c r="T106" i="97"/>
  <c r="T107" i="97"/>
  <c r="T122" i="97"/>
  <c r="V126" i="97" l="1"/>
  <c r="V127" i="97"/>
  <c r="W105" i="97"/>
  <c r="W125" i="97"/>
  <c r="X101" i="97"/>
  <c r="V93" i="97"/>
  <c r="V99" i="97" s="1"/>
  <c r="U122" i="97"/>
  <c r="U106" i="97"/>
  <c r="U107" i="97"/>
  <c r="X102" i="97"/>
  <c r="AF103" i="97"/>
  <c r="X105" i="97" l="1"/>
  <c r="X125" i="97"/>
  <c r="Y101" i="97"/>
  <c r="W127" i="97"/>
  <c r="W93" i="97"/>
  <c r="W99" i="97" s="1"/>
  <c r="V122" i="97"/>
  <c r="V106" i="97"/>
  <c r="V107" i="97"/>
  <c r="W126" i="97"/>
  <c r="AG103" i="97"/>
  <c r="Y102" i="97"/>
  <c r="X127" i="97" l="1"/>
  <c r="W107" i="97"/>
  <c r="X93" i="97"/>
  <c r="X99" i="97" s="1"/>
  <c r="W122" i="97"/>
  <c r="W106" i="97"/>
  <c r="AH103" i="97"/>
  <c r="Z102" i="97"/>
  <c r="Y105" i="97"/>
  <c r="Y125" i="97"/>
  <c r="Z101" i="97"/>
  <c r="X126" i="97"/>
  <c r="Y126" i="97" l="1"/>
  <c r="Y127" i="97"/>
  <c r="X107" i="97"/>
  <c r="X106" i="97"/>
  <c r="X122" i="97"/>
  <c r="Y93" i="97"/>
  <c r="Y99" i="97" s="1"/>
  <c r="AI103" i="97"/>
  <c r="AA102" i="97"/>
  <c r="AA101" i="97"/>
  <c r="Z105" i="97"/>
  <c r="Z125" i="97"/>
  <c r="Z126" i="97" l="1"/>
  <c r="AJ103" i="97"/>
  <c r="AB101" i="97"/>
  <c r="AA105" i="97"/>
  <c r="AA125" i="97"/>
  <c r="Z127" i="97"/>
  <c r="AB102" i="97"/>
  <c r="Y107" i="97"/>
  <c r="Y106" i="97"/>
  <c r="Y122" i="97"/>
  <c r="Z93" i="97"/>
  <c r="Z99" i="97" s="1"/>
  <c r="AA127" i="97" l="1"/>
  <c r="AC102" i="97"/>
  <c r="AC101" i="97"/>
  <c r="AB105" i="97"/>
  <c r="AB125" i="97"/>
  <c r="AK103" i="97"/>
  <c r="AA93" i="97"/>
  <c r="AA99" i="97" s="1"/>
  <c r="Z122" i="97"/>
  <c r="Z107" i="97"/>
  <c r="Z106" i="97"/>
  <c r="AA126" i="97"/>
  <c r="AB126" i="97" l="1"/>
  <c r="AL103" i="97"/>
  <c r="AD101" i="97"/>
  <c r="AC105" i="97"/>
  <c r="AC125" i="97"/>
  <c r="AA106" i="97"/>
  <c r="AB93" i="97"/>
  <c r="AB99" i="97" s="1"/>
  <c r="AA122" i="97"/>
  <c r="AA107" i="97"/>
  <c r="AD102" i="97"/>
  <c r="AB127" i="97"/>
  <c r="AC127" i="97" l="1"/>
  <c r="AC126" i="97"/>
  <c r="AE102" i="97"/>
  <c r="AC93" i="97"/>
  <c r="AC99" i="97" s="1"/>
  <c r="AB106" i="97"/>
  <c r="AB107" i="97"/>
  <c r="AB122" i="97"/>
  <c r="AD105" i="97"/>
  <c r="AD125" i="97"/>
  <c r="AD126" i="97" s="1"/>
  <c r="AE101" i="97"/>
  <c r="AD127" i="97" l="1"/>
  <c r="AD93" i="97"/>
  <c r="AD99" i="97" s="1"/>
  <c r="AE93" i="97" s="1"/>
  <c r="AE99" i="97" s="1"/>
  <c r="AF93" i="97" s="1"/>
  <c r="AC122" i="97"/>
  <c r="AC106" i="97"/>
  <c r="AC107" i="97"/>
  <c r="AF102" i="97"/>
  <c r="AE105" i="97"/>
  <c r="AE124" i="97" s="1"/>
  <c r="AF101" i="97"/>
  <c r="AE126" i="97" l="1"/>
  <c r="AE127" i="97"/>
  <c r="AE122" i="97"/>
  <c r="AE106" i="97"/>
  <c r="AE107" i="97"/>
  <c r="AF96" i="97"/>
  <c r="AF99" i="97"/>
  <c r="AG93" i="97" s="1"/>
  <c r="AG102" i="97"/>
  <c r="AG101" i="97"/>
  <c r="AF105" i="97"/>
  <c r="AF124" i="97" s="1"/>
  <c r="AD122" i="97"/>
  <c r="AD107" i="97"/>
  <c r="AD106" i="97"/>
  <c r="AF126" i="97" l="1"/>
  <c r="AF127" i="97"/>
  <c r="AF106" i="97"/>
  <c r="AF122" i="97"/>
  <c r="AG97" i="97"/>
  <c r="AG99" i="97"/>
  <c r="AH93" i="97" s="1"/>
  <c r="AH99" i="97" s="1"/>
  <c r="AI93" i="97" s="1"/>
  <c r="AI99" i="97" s="1"/>
  <c r="AJ93" i="97" s="1"/>
  <c r="AJ99" i="97" s="1"/>
  <c r="AK93" i="97" s="1"/>
  <c r="AK99" i="97" s="1"/>
  <c r="AL93" i="97" s="1"/>
  <c r="AL99" i="97" s="1"/>
  <c r="AM93" i="97" s="1"/>
  <c r="AF107" i="97"/>
  <c r="AF145" i="97" s="1"/>
  <c r="AF152" i="97" s="1"/>
  <c r="AH102" i="97"/>
  <c r="AH101" i="97"/>
  <c r="AG105" i="97"/>
  <c r="AG161" i="97" l="1"/>
  <c r="AG124" i="97"/>
  <c r="AG122" i="97"/>
  <c r="AG107" i="97"/>
  <c r="AG106" i="97"/>
  <c r="AF161" i="97"/>
  <c r="AH94" i="97"/>
  <c r="AI102" i="97"/>
  <c r="AH105" i="97"/>
  <c r="AI101" i="97"/>
  <c r="AH107" i="97"/>
  <c r="AH122" i="97"/>
  <c r="AH106" i="97"/>
  <c r="AG126" i="97" l="1"/>
  <c r="AG127" i="97"/>
  <c r="AH152" i="97"/>
  <c r="AH161" i="97" s="1"/>
  <c r="AH124" i="97"/>
  <c r="AH95" i="97"/>
  <c r="AI94" i="97"/>
  <c r="AJ102" i="97"/>
  <c r="AI105" i="97"/>
  <c r="AJ101" i="97"/>
  <c r="AI122" i="97"/>
  <c r="AI106" i="97"/>
  <c r="AI107" i="97"/>
  <c r="AH126" i="97" l="1"/>
  <c r="AH127" i="97"/>
  <c r="AI152" i="97"/>
  <c r="AI161" i="97" s="1"/>
  <c r="AI124" i="97"/>
  <c r="AI95" i="97"/>
  <c r="AJ94" i="97"/>
  <c r="AH96" i="97"/>
  <c r="AJ105" i="97"/>
  <c r="AK101" i="97"/>
  <c r="AJ106" i="97"/>
  <c r="AJ122" i="97"/>
  <c r="AJ107" i="97"/>
  <c r="AK102" i="97"/>
  <c r="AI126" i="97" l="1"/>
  <c r="AI127" i="97"/>
  <c r="AJ152" i="97"/>
  <c r="AJ161" i="97" s="1"/>
  <c r="AJ124" i="97"/>
  <c r="AI96" i="97"/>
  <c r="AH97" i="97"/>
  <c r="AJ95" i="97"/>
  <c r="AK94" i="97"/>
  <c r="AL102" i="97"/>
  <c r="AL101" i="97"/>
  <c r="AK105" i="97"/>
  <c r="AK146" i="97" s="1"/>
  <c r="AK107" i="97"/>
  <c r="AK122" i="97"/>
  <c r="AK106" i="97"/>
  <c r="AJ126" i="97" l="1"/>
  <c r="AJ127" i="97"/>
  <c r="AK152" i="97"/>
  <c r="AK161" i="97" s="1"/>
  <c r="AK124" i="97"/>
  <c r="AL94" i="97"/>
  <c r="AK95" i="97"/>
  <c r="AI97" i="97"/>
  <c r="AJ96" i="97"/>
  <c r="AL105" i="97"/>
  <c r="AL106" i="97"/>
  <c r="AL107" i="97"/>
  <c r="AM163" i="97" s="1"/>
  <c r="AL122" i="97"/>
  <c r="AL124" i="97" l="1"/>
  <c r="AL146" i="97"/>
  <c r="AK126" i="97"/>
  <c r="AK127" i="97"/>
  <c r="AL126" i="97"/>
  <c r="AL127" i="97"/>
  <c r="AL152" i="97"/>
  <c r="AL95" i="97"/>
  <c r="AJ97" i="97"/>
  <c r="AM94" i="97"/>
  <c r="AK96" i="97"/>
  <c r="AL161" i="97" l="1"/>
  <c r="AM161" i="97" s="1"/>
  <c r="AM164" i="97" s="1"/>
  <c r="AM152" i="97"/>
  <c r="AM158" i="97" s="1"/>
  <c r="AK97" i="97"/>
  <c r="AL96" i="97"/>
  <c r="AM95" i="97"/>
  <c r="AM96" i="97" l="1"/>
  <c r="AL97" i="97"/>
  <c r="AM97" i="97" l="1"/>
</calcChain>
</file>

<file path=xl/sharedStrings.xml><?xml version="1.0" encoding="utf-8"?>
<sst xmlns="http://schemas.openxmlformats.org/spreadsheetml/2006/main" count="360" uniqueCount="145">
  <si>
    <t>Valori in EUR</t>
  </si>
  <si>
    <t>SEZIONE ENTRATE</t>
  </si>
  <si>
    <t>TOTALE ENTRATE</t>
  </si>
  <si>
    <t>SEZIONE USCITE</t>
  </si>
  <si>
    <t>Area Operativa</t>
  </si>
  <si>
    <t>Leasing</t>
  </si>
  <si>
    <t>Interessi passivi c/c e spese</t>
  </si>
  <si>
    <t>TOTALE USCITE</t>
  </si>
  <si>
    <t>POSIZIONE FINANZIARIA</t>
  </si>
  <si>
    <t>Saldi iniziali c/c (*)</t>
  </si>
  <si>
    <t>Affidamenti di c/c</t>
  </si>
  <si>
    <t>TOTALE AFFIDAMENTI</t>
  </si>
  <si>
    <t>Riepilogo</t>
  </si>
  <si>
    <t xml:space="preserve">Saldo Gestione Corrente </t>
  </si>
  <si>
    <t>Gestione degli Investimenti</t>
  </si>
  <si>
    <t>Gestione Finanziaria</t>
  </si>
  <si>
    <t>Gestione Fiscale</t>
  </si>
  <si>
    <t>Saldo movimenti dei Mezzi Propri in conto Capitale</t>
  </si>
  <si>
    <t>Saldo movimenti dei Mezzi Propri in conto Utili</t>
  </si>
  <si>
    <t>Totale per Controllo</t>
  </si>
  <si>
    <t>Delta (check)</t>
  </si>
  <si>
    <t>Accensione finanziamenti esterni</t>
  </si>
  <si>
    <t>Erogazione Utili</t>
  </si>
  <si>
    <t xml:space="preserve">Entrate Varie </t>
  </si>
  <si>
    <t>Imposte</t>
  </si>
  <si>
    <t>Affitto d'azienda</t>
  </si>
  <si>
    <t>Commesse di Progettazione e Realizzazione</t>
  </si>
  <si>
    <t>Rimborso Prestiti Soci</t>
  </si>
  <si>
    <t>Area Investimenti</t>
  </si>
  <si>
    <t>Impianti/Attrezzature</t>
  </si>
  <si>
    <t>Materie prime per lavorazioni</t>
  </si>
  <si>
    <t>Cancelleria/Varie</t>
  </si>
  <si>
    <t>Area Fiscale</t>
  </si>
  <si>
    <t>Riaddebiti Utilizzo Autovetture da SNC</t>
  </si>
  <si>
    <t>Riaddebiti Leasing da SNC</t>
  </si>
  <si>
    <t>Remunerazione fissa AIP</t>
  </si>
  <si>
    <t>Remunerazione Variabile AIP</t>
  </si>
  <si>
    <t>Acconti</t>
  </si>
  <si>
    <t>Retribuzioni Dipendenti</t>
  </si>
  <si>
    <t>Contributi Dipendenti</t>
  </si>
  <si>
    <t>Retribuzioni Amministratori</t>
  </si>
  <si>
    <t>Contributi Amministratori</t>
  </si>
  <si>
    <t>Utenze Varie</t>
  </si>
  <si>
    <t>Acquisti</t>
  </si>
  <si>
    <t>Rata mutuo</t>
  </si>
  <si>
    <t>TOTALE</t>
  </si>
  <si>
    <t>SEZIONE PORTAFOGLIO MATURATO</t>
  </si>
  <si>
    <t>TOTALE PORTAFOGLIO MATURATO</t>
  </si>
  <si>
    <t>Consuntivo</t>
  </si>
  <si>
    <t>Spese per servizi</t>
  </si>
  <si>
    <t>Finanziamento Soci</t>
  </si>
  <si>
    <t xml:space="preserve">Commesse Incerte </t>
  </si>
  <si>
    <t>90.000 iva inclusa</t>
  </si>
  <si>
    <t>Consuntivato</t>
  </si>
  <si>
    <t>SEZIONE PORTAFOGLIO PRESENTATO</t>
  </si>
  <si>
    <t>TOTALE PORTAFOGLIO PRESENTATO</t>
  </si>
  <si>
    <t>Residuo Fidi C/C</t>
  </si>
  <si>
    <t>PERCENTUALE UTILIZZO AFFIDAMENTI C/C</t>
  </si>
  <si>
    <t>TOTALE SBF</t>
  </si>
  <si>
    <t>RISERVA SBF</t>
  </si>
  <si>
    <t>RIBA PRESENTATE SU UNICREDIT</t>
  </si>
  <si>
    <t>RIBA IN MATURAZIONE SU UNICREDIT</t>
  </si>
  <si>
    <t>Presso Unicredit</t>
  </si>
  <si>
    <t>Unicredit C/c</t>
  </si>
  <si>
    <t>Unicredit SBF</t>
  </si>
  <si>
    <t>Software/Hardware/Varie</t>
  </si>
  <si>
    <t xml:space="preserve"> </t>
  </si>
  <si>
    <t>RIBA PRESENTATE SU VALSABBINA</t>
  </si>
  <si>
    <t>RIBA IN MATURAZIONE SU VALSABBINA</t>
  </si>
  <si>
    <t>Presso Valsabbina</t>
  </si>
  <si>
    <t>Valsabbina C/c</t>
  </si>
  <si>
    <t>Valsabbina SBF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</si>
  <si>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</si>
  <si>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</si>
  <si>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</si>
  <si>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</si>
  <si>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</si>
  <si>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</si>
  <si>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</si>
  <si>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</si>
  <si>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</si>
  <si>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</si>
  <si>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</si>
  <si>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</si>
  <si>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</si>
  <si>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</si>
  <si>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</si>
  <si>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</si>
  <si>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</si>
  <si>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</si>
  <si>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</si>
  <si>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</si>
  <si>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</si>
  <si>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</si>
  <si>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</si>
  <si>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 xml:space="preserve">BUDGET CASSA </t>
  </si>
  <si>
    <t>Polizza Incendi</t>
  </si>
  <si>
    <t>Polizza RC Terzi</t>
  </si>
  <si>
    <t>Per Direzione</t>
  </si>
  <si>
    <t>Presso UBI</t>
  </si>
  <si>
    <t>Presso Intesa</t>
  </si>
  <si>
    <t>Intesa C/c</t>
  </si>
  <si>
    <t>Intesa SBF</t>
  </si>
  <si>
    <t>RIBA PRESENTATE SU INTESA</t>
  </si>
  <si>
    <t>RIBA IN MATURAZIONE SU INTESA</t>
  </si>
  <si>
    <t>RIBA PRESENTATE SU UBI</t>
  </si>
  <si>
    <t>RIBA IN MATURAZIONE SU UBI</t>
  </si>
  <si>
    <t>WorkStation</t>
  </si>
  <si>
    <t>Centro di Lavoro</t>
  </si>
  <si>
    <t>Interpareti+Computers</t>
  </si>
  <si>
    <t>Presse</t>
  </si>
  <si>
    <t>IMU su immobili e terreni</t>
  </si>
  <si>
    <t>Versamento Iva</t>
  </si>
  <si>
    <t>Pagamento TFR</t>
  </si>
  <si>
    <t>UBI C/c</t>
  </si>
  <si>
    <t>SALDO ENTRATE-USCITE</t>
  </si>
  <si>
    <t>Saldi finali di c/c</t>
  </si>
  <si>
    <t>UBI SBF</t>
  </si>
  <si>
    <t>Presentazioni di portafoglio</t>
  </si>
  <si>
    <t>DI CUI:</t>
  </si>
  <si>
    <t>Fido di Cassa</t>
  </si>
  <si>
    <t>Fido anticipo SBF</t>
  </si>
  <si>
    <t>TOTALE AREA OPERATIVA</t>
  </si>
  <si>
    <t>TOTALE AREA INVESTIMENTI</t>
  </si>
  <si>
    <t>Area Finanziaria</t>
  </si>
  <si>
    <t>TOTALE AREA FINANZIARIA</t>
  </si>
  <si>
    <t>TOTALE AREA FISCALE</t>
  </si>
  <si>
    <t>TOTALE AREA EQUITY</t>
  </si>
  <si>
    <t>Area Equity</t>
  </si>
  <si>
    <t>DSCR Calculation (codice della crisi)</t>
  </si>
  <si>
    <t>Numeratore</t>
  </si>
  <si>
    <t>Denominatore</t>
  </si>
  <si>
    <t>Flussi di cassa a servizio del debito</t>
  </si>
  <si>
    <t>Entrate finanziarie</t>
  </si>
  <si>
    <t>Disponibilità liquide iniziali</t>
  </si>
  <si>
    <t>Check</t>
  </si>
  <si>
    <t>DSCR</t>
  </si>
  <si>
    <t>TOTALE NUMERATORE (A)</t>
  </si>
  <si>
    <t>TOTALE DENOMINATORE (B)</t>
  </si>
  <si>
    <t>Double Check ricostruzione saldo finale (A+B)</t>
  </si>
  <si>
    <t>Variazione Castelletto SBF</t>
  </si>
  <si>
    <t>Saldo Gestione Operativa</t>
  </si>
  <si>
    <t>Totale affidamenti di portafoglio</t>
  </si>
  <si>
    <t>PERCENTUALE UTILIZZO AFFIDAMENTI SBF</t>
  </si>
  <si>
    <t>Totale portafoglio anticipato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</si>
</sst>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€&quot;\ #,##0;\-&quot;€&quot;\ #,##0"/>
    <numFmt numFmtId="43" formatCode="_-* #,##0.00_-;\-* #,##0.00_-;_-* &quot;-&quot;??_-;_-@_-"/>
    <numFmt numFmtId="164" formatCode="#,##0.00_ ;[Red]\-#,##0.00\ "/>
    <numFmt numFmtId="165" formatCode="#,##0_ ;[Red]\-#,##0\ "/>
    <numFmt numFmtId="166" formatCode="0_ ;[Red]\-0\ "/>
    <numFmt numFmtId="167" formatCode="#,##0.00_ ;\-#,##0.00\ "/>
    <numFmt numFmtId="168" formatCode="_-[$€]\ * #,##0.00_-;\-[$€]\ * #,##0.00_-;_-[$€]\ * &quot;-&quot;??_-;_-@_-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164" fontId="2" fillId="0" borderId="0" xfId="0" applyNumberFormat="1" applyFont="1"/>
    <xf numFmtId="165" fontId="5" fillId="0" borderId="0" xfId="0" applyNumberFormat="1" applyFont="1"/>
    <xf numFmtId="164" fontId="2" fillId="2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Fill="1"/>
    <xf numFmtId="164" fontId="4" fillId="3" borderId="0" xfId="0" applyNumberFormat="1" applyFont="1" applyFill="1"/>
    <xf numFmtId="164" fontId="9" fillId="3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Alignment="1">
      <alignment horizontal="left"/>
    </xf>
    <xf numFmtId="43" fontId="3" fillId="0" borderId="0" xfId="3" applyFont="1" applyAlignment="1">
      <alignment horizontal="right"/>
    </xf>
    <xf numFmtId="43" fontId="2" fillId="0" borderId="0" xfId="3" applyFont="1"/>
    <xf numFmtId="164" fontId="13" fillId="0" borderId="0" xfId="0" applyNumberFormat="1" applyFont="1"/>
    <xf numFmtId="43" fontId="13" fillId="0" borderId="0" xfId="3" applyFont="1" applyAlignment="1">
      <alignment horizontal="right"/>
    </xf>
    <xf numFmtId="164" fontId="14" fillId="0" borderId="0" xfId="0" applyNumberFormat="1" applyFont="1"/>
    <xf numFmtId="0" fontId="3" fillId="0" borderId="0" xfId="0" applyFont="1" applyFill="1"/>
    <xf numFmtId="0" fontId="5" fillId="0" borderId="0" xfId="3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 applyFill="1" applyAlignment="1">
      <alignment horizontal="left"/>
    </xf>
    <xf numFmtId="43" fontId="3" fillId="0" borderId="0" xfId="3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165" fontId="5" fillId="0" borderId="0" xfId="0" applyNumberFormat="1" applyFont="1" applyFill="1"/>
    <xf numFmtId="164" fontId="13" fillId="0" borderId="0" xfId="0" applyNumberFormat="1" applyFont="1" applyFill="1"/>
    <xf numFmtId="43" fontId="2" fillId="0" borderId="0" xfId="3" applyFont="1" applyFill="1"/>
    <xf numFmtId="43" fontId="3" fillId="0" borderId="0" xfId="3" applyFont="1"/>
    <xf numFmtId="43" fontId="3" fillId="0" borderId="0" xfId="3" applyFont="1" applyFill="1"/>
    <xf numFmtId="43" fontId="3" fillId="0" borderId="0" xfId="3" applyFont="1" applyFill="1" applyAlignment="1">
      <alignment horizontal="left"/>
    </xf>
    <xf numFmtId="0" fontId="4" fillId="4" borderId="0" xfId="0" applyFont="1" applyFill="1"/>
    <xf numFmtId="0" fontId="9" fillId="4" borderId="0" xfId="0" applyFont="1" applyFill="1"/>
    <xf numFmtId="0" fontId="19" fillId="4" borderId="0" xfId="0" applyFont="1" applyFill="1" applyAlignment="1">
      <alignment horizontal="center"/>
    </xf>
    <xf numFmtId="0" fontId="4" fillId="5" borderId="0" xfId="0" applyFont="1" applyFill="1"/>
    <xf numFmtId="0" fontId="9" fillId="5" borderId="0" xfId="0" applyFont="1" applyFill="1"/>
    <xf numFmtId="0" fontId="19" fillId="5" borderId="0" xfId="0" applyFont="1" applyFill="1" applyAlignment="1">
      <alignment horizontal="center"/>
    </xf>
    <xf numFmtId="43" fontId="20" fillId="0" borderId="0" xfId="3" applyFont="1" applyFill="1"/>
    <xf numFmtId="43" fontId="3" fillId="0" borderId="0" xfId="3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43" fontId="2" fillId="0" borderId="0" xfId="3" applyFont="1" applyFill="1" applyBorder="1"/>
    <xf numFmtId="164" fontId="18" fillId="0" borderId="0" xfId="0" applyNumberFormat="1" applyFont="1" applyFill="1"/>
    <xf numFmtId="0" fontId="4" fillId="6" borderId="0" xfId="0" applyFont="1" applyFill="1"/>
    <xf numFmtId="0" fontId="9" fillId="6" borderId="0" xfId="0" applyFont="1" applyFill="1"/>
    <xf numFmtId="0" fontId="19" fillId="6" borderId="0" xfId="0" applyFont="1" applyFill="1" applyAlignment="1">
      <alignment horizontal="center"/>
    </xf>
    <xf numFmtId="164" fontId="3" fillId="0" borderId="0" xfId="0" applyNumberFormat="1" applyFont="1" applyAlignment="1">
      <alignment horizontal="distributed"/>
    </xf>
    <xf numFmtId="164" fontId="17" fillId="0" borderId="0" xfId="0" applyNumberFormat="1" applyFont="1" applyFill="1"/>
    <xf numFmtId="0" fontId="19" fillId="5" borderId="0" xfId="0" applyFont="1" applyFill="1"/>
    <xf numFmtId="0" fontId="19" fillId="4" borderId="0" xfId="0" applyFont="1" applyFill="1"/>
    <xf numFmtId="0" fontId="19" fillId="6" borderId="0" xfId="0" applyFont="1" applyFill="1"/>
    <xf numFmtId="0" fontId="4" fillId="7" borderId="0" xfId="0" applyFont="1" applyFill="1"/>
    <xf numFmtId="0" fontId="9" fillId="7" borderId="0" xfId="0" applyFont="1" applyFill="1"/>
    <xf numFmtId="0" fontId="19" fillId="7" borderId="0" xfId="0" applyFont="1" applyFill="1" applyAlignment="1">
      <alignment horizontal="center"/>
    </xf>
    <xf numFmtId="0" fontId="19" fillId="7" borderId="0" xfId="0" applyFont="1" applyFill="1"/>
    <xf numFmtId="167" fontId="21" fillId="8" borderId="0" xfId="0" applyNumberFormat="1" applyFont="1" applyFill="1"/>
    <xf numFmtId="167" fontId="21" fillId="8" borderId="0" xfId="0" applyNumberFormat="1" applyFont="1" applyFill="1" applyAlignment="1">
      <alignment horizontal="right"/>
    </xf>
    <xf numFmtId="164" fontId="22" fillId="8" borderId="0" xfId="0" applyNumberFormat="1" applyFont="1" applyFill="1"/>
    <xf numFmtId="164" fontId="9" fillId="0" borderId="0" xfId="0" applyNumberFormat="1" applyFont="1" applyFill="1"/>
    <xf numFmtId="164" fontId="23" fillId="9" borderId="0" xfId="0" applyNumberFormat="1" applyFont="1" applyFill="1"/>
    <xf numFmtId="164" fontId="24" fillId="9" borderId="0" xfId="0" applyNumberFormat="1" applyFont="1" applyFill="1"/>
    <xf numFmtId="164" fontId="2" fillId="10" borderId="0" xfId="0" applyNumberFormat="1" applyFont="1" applyFill="1"/>
    <xf numFmtId="164" fontId="2" fillId="11" borderId="0" xfId="0" applyNumberFormat="1" applyFont="1" applyFill="1"/>
    <xf numFmtId="164" fontId="7" fillId="11" borderId="0" xfId="0" applyNumberFormat="1" applyFont="1" applyFill="1"/>
    <xf numFmtId="164" fontId="7" fillId="11" borderId="0" xfId="0" applyNumberFormat="1" applyFont="1" applyFill="1" applyAlignment="1">
      <alignment horizontal="center"/>
    </xf>
    <xf numFmtId="166" fontId="5" fillId="11" borderId="0" xfId="0" applyNumberFormat="1" applyFont="1" applyFill="1"/>
    <xf numFmtId="165" fontId="5" fillId="11" borderId="0" xfId="0" applyNumberFormat="1" applyFont="1" applyFill="1"/>
    <xf numFmtId="165" fontId="3" fillId="11" borderId="0" xfId="0" applyNumberFormat="1" applyFont="1" applyFill="1" applyAlignment="1">
      <alignment horizontal="right"/>
    </xf>
    <xf numFmtId="165" fontId="6" fillId="11" borderId="0" xfId="0" applyNumberFormat="1" applyFont="1" applyFill="1" applyAlignment="1">
      <alignment horizontal="right"/>
    </xf>
    <xf numFmtId="165" fontId="3" fillId="11" borderId="0" xfId="0" applyNumberFormat="1" applyFont="1" applyFill="1"/>
    <xf numFmtId="164" fontId="6" fillId="11" borderId="0" xfId="0" applyNumberFormat="1" applyFont="1" applyFill="1" applyAlignment="1">
      <alignment horizontal="right"/>
    </xf>
    <xf numFmtId="0" fontId="0" fillId="11" borderId="0" xfId="0" applyFill="1"/>
    <xf numFmtId="43" fontId="3" fillId="11" borderId="0" xfId="3" applyFont="1" applyFill="1" applyAlignment="1">
      <alignment horizontal="right"/>
    </xf>
    <xf numFmtId="164" fontId="3" fillId="11" borderId="0" xfId="0" applyNumberFormat="1" applyFont="1" applyFill="1" applyAlignment="1">
      <alignment horizontal="left"/>
    </xf>
    <xf numFmtId="43" fontId="2" fillId="11" borderId="0" xfId="3" applyFont="1" applyFill="1"/>
    <xf numFmtId="164" fontId="2" fillId="10" borderId="0" xfId="0" applyNumberFormat="1" applyFont="1" applyFill="1" applyAlignment="1">
      <alignment horizontal="left"/>
    </xf>
    <xf numFmtId="43" fontId="2" fillId="10" borderId="0" xfId="3" applyFont="1" applyFill="1" applyAlignment="1">
      <alignment horizontal="right"/>
    </xf>
    <xf numFmtId="164" fontId="3" fillId="11" borderId="0" xfId="0" quotePrefix="1" applyNumberFormat="1" applyFont="1" applyFill="1" applyAlignment="1">
      <alignment horizontal="left"/>
    </xf>
    <xf numFmtId="164" fontId="2" fillId="11" borderId="0" xfId="0" applyNumberFormat="1" applyFont="1" applyFill="1" applyAlignment="1">
      <alignment horizontal="left"/>
    </xf>
    <xf numFmtId="164" fontId="3" fillId="11" borderId="0" xfId="0" applyNumberFormat="1" applyFont="1" applyFill="1"/>
    <xf numFmtId="164" fontId="13" fillId="11" borderId="0" xfId="0" applyNumberFormat="1" applyFont="1" applyFill="1"/>
    <xf numFmtId="164" fontId="8" fillId="11" borderId="0" xfId="0" applyNumberFormat="1" applyFont="1" applyFill="1"/>
    <xf numFmtId="0" fontId="16" fillId="11" borderId="0" xfId="1" applyFill="1" applyAlignment="1" applyProtection="1"/>
    <xf numFmtId="43" fontId="2" fillId="11" borderId="0" xfId="3" applyFont="1" applyFill="1" applyAlignment="1">
      <alignment horizontal="right"/>
    </xf>
    <xf numFmtId="164" fontId="2" fillId="11" borderId="0" xfId="0" quotePrefix="1" applyNumberFormat="1" applyFont="1" applyFill="1" applyAlignment="1">
      <alignment horizontal="left"/>
    </xf>
    <xf numFmtId="164" fontId="3" fillId="11" borderId="0" xfId="0" applyNumberFormat="1" applyFont="1" applyFill="1" applyAlignment="1">
      <alignment horizontal="right"/>
    </xf>
    <xf numFmtId="164" fontId="21" fillId="9" borderId="0" xfId="0" applyNumberFormat="1" applyFont="1" applyFill="1"/>
    <xf numFmtId="164" fontId="2" fillId="13" borderId="0" xfId="0" applyNumberFormat="1" applyFont="1" applyFill="1" applyAlignment="1">
      <alignment horizontal="left"/>
    </xf>
    <xf numFmtId="43" fontId="2" fillId="13" borderId="0" xfId="3" applyFont="1" applyFill="1" applyAlignment="1">
      <alignment horizontal="right"/>
    </xf>
    <xf numFmtId="164" fontId="2" fillId="13" borderId="0" xfId="0" applyNumberFormat="1" applyFont="1" applyFill="1"/>
    <xf numFmtId="9" fontId="3" fillId="11" borderId="0" xfId="4" applyFont="1" applyFill="1"/>
    <xf numFmtId="164" fontId="2" fillId="11" borderId="0" xfId="0" applyNumberFormat="1" applyFont="1" applyFill="1" applyAlignment="1">
      <alignment horizontal="right"/>
    </xf>
    <xf numFmtId="164" fontId="5" fillId="11" borderId="0" xfId="0" applyNumberFormat="1" applyFont="1" applyFill="1"/>
    <xf numFmtId="164" fontId="21" fillId="14" borderId="0" xfId="0" quotePrefix="1" applyNumberFormat="1" applyFont="1" applyFill="1" applyAlignment="1">
      <alignment horizontal="right"/>
    </xf>
    <xf numFmtId="164" fontId="21" fillId="14" borderId="0" xfId="0" applyNumberFormat="1" applyFont="1" applyFill="1"/>
    <xf numFmtId="164" fontId="21" fillId="14" borderId="0" xfId="0" applyNumberFormat="1" applyFont="1" applyFill="1" applyAlignment="1">
      <alignment horizontal="right"/>
    </xf>
    <xf numFmtId="167" fontId="21" fillId="15" borderId="0" xfId="0" applyNumberFormat="1" applyFont="1" applyFill="1"/>
    <xf numFmtId="167" fontId="21" fillId="15" borderId="0" xfId="0" applyNumberFormat="1" applyFont="1" applyFill="1" applyAlignment="1">
      <alignment horizontal="right"/>
    </xf>
    <xf numFmtId="164" fontId="22" fillId="15" borderId="0" xfId="0" applyNumberFormat="1" applyFont="1" applyFill="1"/>
    <xf numFmtId="167" fontId="2" fillId="11" borderId="0" xfId="0" applyNumberFormat="1" applyFont="1" applyFill="1"/>
    <xf numFmtId="164" fontId="20" fillId="11" borderId="0" xfId="0" applyNumberFormat="1" applyFont="1" applyFill="1"/>
    <xf numFmtId="167" fontId="21" fillId="11" borderId="0" xfId="0" applyNumberFormat="1" applyFont="1" applyFill="1"/>
    <xf numFmtId="167" fontId="21" fillId="11" borderId="0" xfId="0" applyNumberFormat="1" applyFont="1" applyFill="1" applyAlignment="1">
      <alignment horizontal="right"/>
    </xf>
    <xf numFmtId="164" fontId="22" fillId="11" borderId="0" xfId="0" applyNumberFormat="1" applyFont="1" applyFill="1"/>
    <xf numFmtId="164" fontId="21" fillId="8" borderId="0" xfId="0" applyNumberFormat="1" applyFont="1" applyFill="1"/>
    <xf numFmtId="164" fontId="12" fillId="10" borderId="0" xfId="0" quotePrefix="1" applyNumberFormat="1" applyFont="1" applyFill="1" applyAlignment="1">
      <alignment horizontal="left"/>
    </xf>
    <xf numFmtId="164" fontId="12" fillId="10" borderId="0" xfId="0" applyNumberFormat="1" applyFont="1" applyFill="1"/>
    <xf numFmtId="164" fontId="3" fillId="10" borderId="0" xfId="0" applyNumberFormat="1" applyFont="1" applyFill="1"/>
    <xf numFmtId="164" fontId="12" fillId="11" borderId="0" xfId="0" applyNumberFormat="1" applyFont="1" applyFill="1"/>
    <xf numFmtId="164" fontId="10" fillId="11" borderId="0" xfId="0" applyNumberFormat="1" applyFont="1" applyFill="1" applyAlignment="1">
      <alignment horizontal="right" vertical="center" wrapText="1"/>
    </xf>
    <xf numFmtId="5" fontId="10" fillId="11" borderId="0" xfId="0" applyNumberFormat="1" applyFont="1" applyFill="1" applyAlignment="1">
      <alignment horizontal="center" vertical="center" wrapText="1"/>
    </xf>
    <xf numFmtId="164" fontId="10" fillId="11" borderId="0" xfId="2" applyNumberFormat="1" applyFont="1" applyFill="1" applyAlignment="1">
      <alignment horizontal="center" vertical="center" wrapText="1"/>
    </xf>
    <xf numFmtId="164" fontId="10" fillId="11" borderId="0" xfId="0" applyNumberFormat="1" applyFont="1" applyFill="1" applyAlignment="1">
      <alignment horizontal="center" vertical="center" wrapText="1"/>
    </xf>
    <xf numFmtId="10" fontId="2" fillId="13" borderId="0" xfId="4" applyNumberFormat="1" applyFont="1" applyFill="1"/>
    <xf numFmtId="164" fontId="3" fillId="13" borderId="0" xfId="0" applyNumberFormat="1" applyFont="1" applyFill="1"/>
    <xf numFmtId="164" fontId="10" fillId="12" borderId="0" xfId="0" applyNumberFormat="1" applyFont="1" applyFill="1" applyAlignment="1">
      <alignment horizontal="right" vertical="center" wrapText="1"/>
    </xf>
    <xf numFmtId="5" fontId="10" fillId="12" borderId="0" xfId="0" applyNumberFormat="1" applyFont="1" applyFill="1" applyAlignment="1">
      <alignment horizontal="center" vertical="center" wrapText="1"/>
    </xf>
    <xf numFmtId="164" fontId="10" fillId="12" borderId="0" xfId="0" applyNumberFormat="1" applyFont="1" applyFill="1" applyAlignment="1">
      <alignment horizontal="center" vertical="center" wrapText="1"/>
    </xf>
    <xf numFmtId="4" fontId="2" fillId="11" borderId="0" xfId="0" applyNumberFormat="1" applyFont="1" applyFill="1"/>
    <xf numFmtId="4" fontId="2" fillId="11" borderId="0" xfId="4" applyNumberFormat="1" applyFont="1" applyFill="1"/>
    <xf numFmtId="164" fontId="12" fillId="16" borderId="0" xfId="0" applyNumberFormat="1" applyFont="1" applyFill="1"/>
    <xf numFmtId="4" fontId="12" fillId="16" borderId="0" xfId="0" applyNumberFormat="1" applyFont="1" applyFill="1"/>
    <xf numFmtId="164" fontId="11" fillId="16" borderId="0" xfId="0" applyNumberFormat="1" applyFont="1" applyFill="1"/>
    <xf numFmtId="164" fontId="9" fillId="11" borderId="0" xfId="0" applyNumberFormat="1" applyFont="1" applyFill="1"/>
    <xf numFmtId="164" fontId="2" fillId="11" borderId="0" xfId="0" quotePrefix="1" applyNumberFormat="1" applyFont="1" applyFill="1" applyAlignment="1">
      <alignment horizontal="right"/>
    </xf>
    <xf numFmtId="164" fontId="3" fillId="11" borderId="0" xfId="0" applyNumberFormat="1" applyFont="1" applyFill="1" applyAlignment="1"/>
    <xf numFmtId="10" fontId="3" fillId="11" borderId="0" xfId="0" applyNumberFormat="1" applyFont="1" applyFill="1"/>
    <xf numFmtId="164" fontId="2" fillId="11" borderId="0" xfId="0" applyNumberFormat="1" applyFont="1" applyFill="1" applyAlignment="1"/>
    <xf numFmtId="164" fontId="2" fillId="11" borderId="0" xfId="0" applyNumberFormat="1" applyFont="1" applyFill="1" applyAlignment="1">
      <alignment horizontal="center"/>
    </xf>
    <xf numFmtId="164" fontId="26" fillId="18" borderId="0" xfId="0" applyNumberFormat="1" applyFont="1" applyFill="1"/>
    <xf numFmtId="164" fontId="12" fillId="18" borderId="0" xfId="0" applyNumberFormat="1" applyFont="1" applyFill="1" applyAlignment="1">
      <alignment horizontal="right"/>
    </xf>
    <xf numFmtId="164" fontId="12" fillId="18" borderId="0" xfId="0" applyNumberFormat="1" applyFont="1" applyFill="1"/>
    <xf numFmtId="164" fontId="25" fillId="19" borderId="0" xfId="0" quotePrefix="1" applyNumberFormat="1" applyFont="1" applyFill="1"/>
    <xf numFmtId="164" fontId="26" fillId="19" borderId="0" xfId="0" applyNumberFormat="1" applyFont="1" applyFill="1"/>
    <xf numFmtId="167" fontId="12" fillId="10" borderId="0" xfId="0" applyNumberFormat="1" applyFont="1" applyFill="1"/>
    <xf numFmtId="164" fontId="2" fillId="16" borderId="0" xfId="0" applyNumberFormat="1" applyFont="1" applyFill="1" applyAlignment="1">
      <alignment horizontal="right"/>
    </xf>
    <xf numFmtId="164" fontId="21" fillId="17" borderId="0" xfId="0" applyNumberFormat="1" applyFont="1" applyFill="1" applyAlignment="1">
      <alignment horizontal="right"/>
    </xf>
    <xf numFmtId="164" fontId="21" fillId="17" borderId="0" xfId="0" applyNumberFormat="1" applyFont="1" applyFill="1"/>
    <xf numFmtId="4" fontId="21" fillId="17" borderId="0" xfId="4" applyNumberFormat="1" applyFont="1" applyFill="1"/>
    <xf numFmtId="10" fontId="21" fillId="17" borderId="0" xfId="4" applyNumberFormat="1" applyFont="1" applyFill="1"/>
    <xf numFmtId="164" fontId="22" fillId="17" borderId="0" xfId="0" applyNumberFormat="1" applyFont="1" applyFill="1"/>
    <xf numFmtId="164" fontId="21" fillId="11" borderId="0" xfId="0" applyNumberFormat="1" applyFont="1" applyFill="1" applyAlignment="1">
      <alignment horizontal="right"/>
    </xf>
    <xf numFmtId="164" fontId="21" fillId="11" borderId="0" xfId="0" applyNumberFormat="1" applyFont="1" applyFill="1"/>
    <xf numFmtId="4" fontId="21" fillId="11" borderId="0" xfId="4" applyNumberFormat="1" applyFont="1" applyFill="1"/>
    <xf numFmtId="10" fontId="21" fillId="11" borderId="0" xfId="4" applyNumberFormat="1" applyFont="1" applyFill="1"/>
  </cellXfs>
  <cellStyles count="5">
    <cellStyle name="Collegamento ipertestuale" xfId="1" builtinId="8"/>
    <cellStyle name="Euro" xfId="2" xr:uid="{00000000-0005-0000-0000-000001000000}"/>
    <cellStyle name="Migliaia" xfId="3" builtinId="3"/>
    <cellStyle name="Normale" xfId="0" builtinId="0"/>
    <cellStyle name="Percentual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23"/>
  <sheetViews>
    <sheetView workbookViewId="0">
      <pane xSplit="1" ySplit="2" topLeftCell="AE3" activePane="bottomRight" state="frozen"/>
      <selection activeCell="AL54" sqref="AL54:AN54"/>
      <selection pane="topRight" activeCell="AL54" sqref="AL54:AN54"/>
      <selection pane="bottomLeft" activeCell="AL54" sqref="AL54:AN54"/>
      <selection pane="bottomRight" activeCell="AG4" sqref="AG4:AL24"/>
    </sheetView>
  </sheetViews>
  <sheetFormatPr defaultRowHeight="12.3" x14ac:dyDescent="0.4"/>
  <cols>
    <col min="1" max="1" width="37" bestFit="1" customWidth="1"/>
    <col min="2" max="2" width="1.5546875" hidden="1" customWidth="1"/>
    <col min="3" max="9" width="10.6640625" hidden="1" customWidth="1"/>
    <col min="10" max="10" width="11.33203125" hidden="1" customWidth="1"/>
    <col min="11" max="11" width="10.5546875" hidden="1" customWidth="1"/>
    <col min="12" max="12" width="11.44140625" hidden="1" customWidth="1"/>
    <col min="13" max="13" width="11" hidden="1" customWidth="1"/>
    <col min="14" max="14" width="10.88671875" hidden="1" customWidth="1"/>
    <col min="15" max="15" width="11.44140625" hidden="1" customWidth="1"/>
    <col min="16" max="16" width="11.6640625" hidden="1" customWidth="1"/>
    <col min="17" max="17" width="11.88671875" hidden="1" customWidth="1"/>
    <col min="18" max="18" width="11.109375" hidden="1" customWidth="1"/>
    <col min="19" max="20" width="12.33203125" hidden="1" customWidth="1"/>
    <col min="21" max="21" width="11.44140625" hidden="1" customWidth="1"/>
    <col min="22" max="24" width="11.5546875" hidden="1" customWidth="1"/>
    <col min="25" max="26" width="10.88671875" hidden="1" customWidth="1"/>
    <col min="27" max="27" width="11.109375" hidden="1" customWidth="1"/>
    <col min="28" max="28" width="11.44140625" hidden="1" customWidth="1"/>
    <col min="29" max="30" width="10.6640625" hidden="1" customWidth="1"/>
    <col min="31" max="31" width="10.6640625" bestFit="1" customWidth="1"/>
    <col min="32" max="32" width="10" bestFit="1" customWidth="1"/>
    <col min="33" max="40" width="10.6640625" bestFit="1" customWidth="1"/>
    <col min="41" max="41" width="10.21875" bestFit="1" customWidth="1"/>
    <col min="42" max="42" width="9.21875" bestFit="1" customWidth="1"/>
  </cols>
  <sheetData>
    <row r="1" spans="1:42" s="32" customFormat="1" x14ac:dyDescent="0.4">
      <c r="A1" s="31" t="s">
        <v>103</v>
      </c>
      <c r="C1" s="33" t="s">
        <v>53</v>
      </c>
      <c r="D1" s="33" t="s">
        <v>53</v>
      </c>
      <c r="E1" s="33" t="s">
        <v>53</v>
      </c>
      <c r="F1" s="33" t="s">
        <v>53</v>
      </c>
      <c r="G1" s="33" t="s">
        <v>53</v>
      </c>
      <c r="H1" s="33" t="s">
        <v>53</v>
      </c>
      <c r="I1" s="33" t="s">
        <v>53</v>
      </c>
      <c r="J1" s="33" t="s">
        <v>53</v>
      </c>
      <c r="K1" s="33" t="s">
        <v>53</v>
      </c>
      <c r="L1" s="33" t="s">
        <v>53</v>
      </c>
      <c r="M1" s="33" t="s">
        <v>53</v>
      </c>
      <c r="N1" s="33" t="s">
        <v>53</v>
      </c>
      <c r="O1" s="33" t="s">
        <v>53</v>
      </c>
      <c r="P1" s="33" t="s">
        <v>53</v>
      </c>
      <c r="Q1" s="33" t="s">
        <v>53</v>
      </c>
      <c r="R1" s="33" t="s">
        <v>53</v>
      </c>
      <c r="S1" s="33" t="s">
        <v>53</v>
      </c>
      <c r="T1" s="33" t="s">
        <v>53</v>
      </c>
      <c r="U1" s="33" t="s">
        <v>53</v>
      </c>
      <c r="V1" s="33" t="s">
        <v>53</v>
      </c>
      <c r="W1" s="33" t="s">
        <v>53</v>
      </c>
      <c r="X1" s="33" t="s">
        <v>53</v>
      </c>
      <c r="Y1" s="33" t="s">
        <v>53</v>
      </c>
      <c r="Z1" s="33" t="s">
        <v>53</v>
      </c>
      <c r="AA1" s="33" t="s">
        <v>53</v>
      </c>
      <c r="AB1" s="33" t="s">
        <v>53</v>
      </c>
      <c r="AC1" s="33" t="s">
        <v>53</v>
      </c>
      <c r="AD1" s="33" t="s">
        <v>53</v>
      </c>
      <c r="AE1" s="33" t="s">
        <v>53</v>
      </c>
      <c r="AF1" s="33" t="s">
        <v>53</v>
      </c>
      <c r="AG1" s="33"/>
    </row>
    <row r="2" spans="1:42" s="15" customFormat="1" ht="15" x14ac:dyDescent="0.5">
      <c r="A2" s="16">
        <v>2019</v>
      </c>
      <c r="B2" s="2">
        <v>4</v>
      </c>
      <c r="C2" s="2">
        <v>5</v>
      </c>
      <c r="D2" s="2">
        <v>6</v>
      </c>
      <c r="E2" s="2">
        <v>7</v>
      </c>
      <c r="F2" s="2">
        <v>8</v>
      </c>
      <c r="G2" s="2">
        <v>9</v>
      </c>
      <c r="H2" s="2">
        <v>10</v>
      </c>
      <c r="I2" s="2">
        <v>11</v>
      </c>
      <c r="J2" s="2">
        <v>12</v>
      </c>
      <c r="K2" s="22">
        <v>1</v>
      </c>
      <c r="L2" s="22">
        <v>2</v>
      </c>
      <c r="M2" s="22">
        <v>3</v>
      </c>
      <c r="N2" s="22">
        <v>4</v>
      </c>
      <c r="O2" s="22">
        <v>5</v>
      </c>
      <c r="P2" s="22">
        <v>6</v>
      </c>
      <c r="Q2" s="22">
        <v>7</v>
      </c>
      <c r="R2" s="22">
        <v>8</v>
      </c>
      <c r="S2" s="22">
        <v>9</v>
      </c>
      <c r="T2" s="22">
        <v>10</v>
      </c>
      <c r="U2" s="22">
        <v>11</v>
      </c>
      <c r="V2" s="22">
        <v>12</v>
      </c>
      <c r="W2" s="22">
        <v>1</v>
      </c>
      <c r="X2" s="22">
        <v>2</v>
      </c>
      <c r="Y2" s="22">
        <v>3</v>
      </c>
      <c r="Z2" s="22">
        <v>4</v>
      </c>
      <c r="AA2" s="22">
        <v>5</v>
      </c>
      <c r="AB2" s="22">
        <v>6</v>
      </c>
      <c r="AC2" s="22">
        <v>7</v>
      </c>
      <c r="AD2" s="22">
        <v>8</v>
      </c>
      <c r="AE2" s="22">
        <v>9</v>
      </c>
      <c r="AF2" s="22">
        <v>10</v>
      </c>
      <c r="AG2" s="22">
        <v>11</v>
      </c>
      <c r="AH2" s="22">
        <v>12</v>
      </c>
      <c r="AI2" s="22">
        <v>1</v>
      </c>
      <c r="AJ2" s="22">
        <v>2</v>
      </c>
      <c r="AK2" s="22">
        <v>3</v>
      </c>
      <c r="AL2" s="22">
        <v>4</v>
      </c>
      <c r="AM2" s="22">
        <v>5</v>
      </c>
      <c r="AN2" s="22">
        <v>6</v>
      </c>
      <c r="AO2" s="22">
        <v>7</v>
      </c>
      <c r="AP2" s="22">
        <v>8</v>
      </c>
    </row>
    <row r="3" spans="1:42" s="1" customFormat="1" x14ac:dyDescent="0.4">
      <c r="A3" s="19" t="s">
        <v>72</v>
      </c>
      <c r="B3" s="20"/>
      <c r="C3" s="20"/>
      <c r="D3" s="20"/>
      <c r="E3" s="20"/>
      <c r="F3" s="5"/>
      <c r="G3" s="20"/>
      <c r="H3" s="24"/>
      <c r="I3" s="24"/>
      <c r="J3" s="26"/>
      <c r="K3" s="24"/>
      <c r="L3" s="24"/>
      <c r="M3" s="24"/>
      <c r="N3" s="5"/>
      <c r="O3" s="8"/>
      <c r="P3" s="5"/>
      <c r="Q3" s="39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42" s="4" customFormat="1" x14ac:dyDescent="0.4">
      <c r="A4" s="19" t="s">
        <v>73</v>
      </c>
      <c r="B4" s="8"/>
      <c r="C4" s="23"/>
      <c r="D4" s="23"/>
      <c r="E4" s="2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">
        <v>35992.800000000003</v>
      </c>
      <c r="AG4" s="4">
        <v>74412</v>
      </c>
      <c r="AH4" s="4">
        <v>200376</v>
      </c>
    </row>
    <row r="5" spans="1:42" s="1" customFormat="1" x14ac:dyDescent="0.4">
      <c r="A5" s="19" t="s">
        <v>74</v>
      </c>
      <c r="B5" s="20"/>
      <c r="C5" s="20">
        <v>24641.11</v>
      </c>
      <c r="D5" s="20">
        <v>31608.21</v>
      </c>
      <c r="E5" s="5"/>
      <c r="F5" s="20">
        <v>31996.32</v>
      </c>
      <c r="G5" s="20"/>
      <c r="H5" s="5"/>
      <c r="I5" s="20"/>
      <c r="J5" s="26"/>
      <c r="K5" s="26">
        <v>29278.89</v>
      </c>
      <c r="L5" s="26"/>
      <c r="M5" s="35">
        <v>12650</v>
      </c>
      <c r="N5" s="8"/>
      <c r="O5" s="8">
        <f>52298+2376</f>
        <v>54674</v>
      </c>
      <c r="P5" s="8">
        <f>8100+47487.5-12655</f>
        <v>42932.5</v>
      </c>
      <c r="Q5" s="8"/>
      <c r="R5" s="8"/>
      <c r="S5" s="8"/>
      <c r="T5" s="8"/>
      <c r="U5" s="8"/>
      <c r="V5" s="8">
        <v>28000</v>
      </c>
      <c r="W5" s="8"/>
      <c r="X5" s="8"/>
      <c r="Y5" s="8"/>
      <c r="Z5" s="8"/>
      <c r="AA5" s="8"/>
      <c r="AB5" s="8">
        <v>24609.439999999999</v>
      </c>
      <c r="AC5" s="8"/>
      <c r="AD5" s="5"/>
      <c r="AE5" s="8">
        <v>41506.81</v>
      </c>
      <c r="AF5" s="4"/>
      <c r="AG5" s="4">
        <v>30115.63</v>
      </c>
      <c r="AH5" s="4">
        <v>31000</v>
      </c>
      <c r="AM5" s="1">
        <v>110000</v>
      </c>
    </row>
    <row r="6" spans="1:42" s="1" customFormat="1" x14ac:dyDescent="0.4">
      <c r="A6" s="19" t="s">
        <v>75</v>
      </c>
      <c r="B6" s="20"/>
      <c r="C6" s="8">
        <v>2364</v>
      </c>
      <c r="D6" s="20">
        <f>372-3.11-4</f>
        <v>364.89</v>
      </c>
      <c r="E6" s="20">
        <v>18463.060000000001</v>
      </c>
      <c r="F6" s="8">
        <v>1296</v>
      </c>
      <c r="G6" s="5"/>
      <c r="H6" s="20">
        <f>3615*1.2+1152-24.16</f>
        <v>5465.84</v>
      </c>
      <c r="I6" s="5"/>
      <c r="J6" s="26">
        <f>23100*1.2-16.94</f>
        <v>27703.06</v>
      </c>
      <c r="K6" s="26"/>
      <c r="L6" s="26">
        <v>1580</v>
      </c>
      <c r="M6" s="35">
        <f>1550+250</f>
        <v>1800</v>
      </c>
      <c r="N6" s="5"/>
      <c r="O6" s="8"/>
      <c r="P6" s="8">
        <f>2929+2929</f>
        <v>5858</v>
      </c>
      <c r="Q6" s="8">
        <f>2424*2</f>
        <v>4848</v>
      </c>
      <c r="R6" s="5"/>
      <c r="S6" s="5"/>
      <c r="T6" s="8">
        <f>1596</f>
        <v>1596</v>
      </c>
      <c r="U6" s="8">
        <v>1920</v>
      </c>
      <c r="V6" s="8">
        <f>2886+(2615.89*3)</f>
        <v>10733.67</v>
      </c>
      <c r="W6" s="8"/>
      <c r="X6" s="5"/>
      <c r="Y6" s="5"/>
      <c r="Z6" s="5"/>
      <c r="AA6" s="5"/>
      <c r="AB6" s="5"/>
      <c r="AC6" s="5"/>
      <c r="AD6" s="5"/>
      <c r="AE6" s="5"/>
      <c r="AF6" s="4"/>
      <c r="AG6" s="4"/>
      <c r="AH6" s="4"/>
    </row>
    <row r="7" spans="1:42" s="1" customFormat="1" x14ac:dyDescent="0.4">
      <c r="A7" s="19" t="s">
        <v>76</v>
      </c>
      <c r="B7" s="20"/>
      <c r="C7" s="20"/>
      <c r="D7" s="20"/>
      <c r="E7" s="20"/>
      <c r="F7" s="20">
        <v>540</v>
      </c>
      <c r="G7" s="5"/>
      <c r="H7" s="20">
        <f>950*1.2</f>
        <v>1140</v>
      </c>
      <c r="I7" s="26"/>
      <c r="J7" s="26"/>
      <c r="K7" s="26"/>
      <c r="L7" s="26"/>
      <c r="M7" s="35">
        <f>950*1.2</f>
        <v>1140</v>
      </c>
      <c r="N7" s="5"/>
      <c r="O7" s="5"/>
      <c r="P7" s="5"/>
      <c r="Q7" s="5"/>
      <c r="R7" s="5"/>
      <c r="S7" s="8">
        <v>6322.69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42" s="4" customFormat="1" x14ac:dyDescent="0.4">
      <c r="A8" s="19" t="s">
        <v>77</v>
      </c>
      <c r="B8" s="8"/>
      <c r="C8" s="23"/>
      <c r="D8" s="23"/>
      <c r="E8" s="23"/>
      <c r="F8" s="8"/>
      <c r="G8" s="8"/>
      <c r="H8" s="8"/>
      <c r="I8" s="8"/>
      <c r="J8" s="8"/>
      <c r="K8" s="8"/>
      <c r="L8" s="8"/>
      <c r="M8" s="36"/>
      <c r="N8" s="8"/>
      <c r="O8" s="8"/>
      <c r="P8" s="8">
        <v>28200</v>
      </c>
      <c r="Q8" s="8"/>
      <c r="R8" s="8"/>
      <c r="S8" s="8"/>
      <c r="T8" s="8"/>
      <c r="U8" s="8">
        <f>7617.6-7.22</f>
        <v>7610.38</v>
      </c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42" s="1" customFormat="1" x14ac:dyDescent="0.4">
      <c r="A9" s="19" t="s">
        <v>78</v>
      </c>
      <c r="B9" s="20"/>
      <c r="C9" s="8">
        <f>3360-13.33</f>
        <v>3346.67</v>
      </c>
      <c r="D9" s="20">
        <f>16050-3.11</f>
        <v>16046.89</v>
      </c>
      <c r="E9" s="5"/>
      <c r="F9" s="20">
        <v>1970</v>
      </c>
      <c r="G9" s="5"/>
      <c r="H9" s="20">
        <v>570</v>
      </c>
      <c r="I9" s="26"/>
      <c r="J9" s="26">
        <f>750+(6400+480)</f>
        <v>7630</v>
      </c>
      <c r="K9" s="5"/>
      <c r="L9" s="8">
        <v>1710</v>
      </c>
      <c r="M9" s="35">
        <f>9100</f>
        <v>9100</v>
      </c>
      <c r="N9" s="8"/>
      <c r="O9" s="8"/>
      <c r="P9" s="8">
        <v>1140</v>
      </c>
      <c r="Q9" s="5"/>
      <c r="R9" s="5"/>
      <c r="S9" s="5"/>
      <c r="T9" s="8">
        <v>1116.3900000000001</v>
      </c>
      <c r="U9" s="8">
        <v>3250</v>
      </c>
      <c r="V9" s="8">
        <v>1200</v>
      </c>
      <c r="W9" s="5"/>
      <c r="X9" s="5"/>
      <c r="Y9" s="5"/>
      <c r="Z9" s="5"/>
      <c r="AA9" s="8"/>
      <c r="AB9" s="8">
        <v>1800</v>
      </c>
      <c r="AC9" s="8"/>
      <c r="AD9" s="8">
        <f>1350+1400</f>
        <v>2750</v>
      </c>
      <c r="AE9" s="8">
        <v>0</v>
      </c>
      <c r="AF9" s="4"/>
      <c r="AG9" s="4"/>
    </row>
    <row r="10" spans="1:42" s="1" customFormat="1" x14ac:dyDescent="0.4">
      <c r="A10" s="19" t="s">
        <v>79</v>
      </c>
      <c r="B10" s="20"/>
      <c r="C10" s="20"/>
      <c r="D10" s="20"/>
      <c r="E10" s="5"/>
      <c r="F10" s="20">
        <f>68000*1.2-26400</f>
        <v>55200</v>
      </c>
      <c r="G10" s="8">
        <f>2270.28+23000</f>
        <v>25270.28</v>
      </c>
      <c r="H10" s="8">
        <f>12312</f>
        <v>12312</v>
      </c>
      <c r="I10" s="26">
        <f>+((720+58)*38*1.2)</f>
        <v>35476.799999999996</v>
      </c>
      <c r="J10" s="27">
        <f>630*38*1.2</f>
        <v>28728</v>
      </c>
      <c r="K10" s="26">
        <f>500*38*1.2-3.61</f>
        <v>22796.39</v>
      </c>
      <c r="L10" s="8"/>
      <c r="M10" s="35"/>
      <c r="N10" s="5"/>
      <c r="O10" s="5"/>
      <c r="P10" s="5"/>
      <c r="Q10" s="5"/>
      <c r="R10" s="5"/>
      <c r="S10" s="5"/>
      <c r="T10" s="5"/>
      <c r="U10" s="8"/>
      <c r="V10" s="5"/>
      <c r="W10" s="5"/>
      <c r="X10" s="8"/>
      <c r="Y10" s="5"/>
      <c r="Z10" s="5"/>
      <c r="AA10" s="8">
        <f>38000-38000</f>
        <v>0</v>
      </c>
      <c r="AB10" s="5"/>
      <c r="AC10" s="8"/>
      <c r="AD10" s="8">
        <f>19000*1.2</f>
        <v>22800</v>
      </c>
      <c r="AE10" s="8">
        <v>0</v>
      </c>
      <c r="AF10" s="4"/>
      <c r="AG10" s="4"/>
      <c r="AI10" s="4">
        <v>22800</v>
      </c>
    </row>
    <row r="11" spans="1:42" s="1" customFormat="1" x14ac:dyDescent="0.4">
      <c r="A11" s="19" t="s">
        <v>80</v>
      </c>
      <c r="B11" s="20"/>
      <c r="C11" s="8"/>
      <c r="D11" s="20"/>
      <c r="E11" s="20"/>
      <c r="F11" s="8"/>
      <c r="G11" s="20"/>
      <c r="H11" s="26">
        <v>1702.8</v>
      </c>
      <c r="I11" s="8">
        <v>594</v>
      </c>
      <c r="J11" s="26"/>
      <c r="K11" s="26"/>
      <c r="L11" s="26">
        <v>194.4</v>
      </c>
      <c r="M11" s="37"/>
      <c r="N11" s="5"/>
      <c r="O11" s="5"/>
      <c r="P11" s="8"/>
      <c r="Q11" s="8"/>
      <c r="R11" s="5"/>
      <c r="S11" s="5"/>
      <c r="T11" s="5"/>
      <c r="U11" s="5"/>
      <c r="V11" s="8">
        <v>420</v>
      </c>
      <c r="W11" s="5"/>
      <c r="X11" s="5"/>
      <c r="Y11" s="5"/>
      <c r="Z11" s="5"/>
      <c r="AA11" s="5"/>
      <c r="AB11" s="8">
        <v>1896.67</v>
      </c>
      <c r="AC11" s="5"/>
      <c r="AD11" s="8"/>
      <c r="AE11" s="8"/>
      <c r="AF11" s="4"/>
      <c r="AG11" s="4"/>
      <c r="AI11" s="4">
        <v>22527.599999999999</v>
      </c>
    </row>
    <row r="12" spans="1:42" s="1" customFormat="1" x14ac:dyDescent="0.4">
      <c r="A12" s="19" t="s">
        <v>81</v>
      </c>
      <c r="B12" s="20"/>
      <c r="C12" s="8">
        <f>1085.14-18</f>
        <v>1067.1400000000001</v>
      </c>
      <c r="D12" s="20">
        <f>47902-3.11</f>
        <v>47898.89</v>
      </c>
      <c r="E12" s="20"/>
      <c r="F12" s="8"/>
      <c r="G12" s="5"/>
      <c r="H12" s="5"/>
      <c r="I12" s="8"/>
      <c r="J12" s="8">
        <f>24737.07+1813.5</f>
        <v>26550.57</v>
      </c>
      <c r="K12" s="5"/>
      <c r="L12" s="8">
        <v>5826</v>
      </c>
      <c r="M12" s="36">
        <v>5400</v>
      </c>
      <c r="N12" s="8"/>
      <c r="O12" s="8"/>
      <c r="P12" s="8">
        <v>2200</v>
      </c>
      <c r="Q12" s="8"/>
      <c r="R12" s="5"/>
      <c r="S12" s="8"/>
      <c r="T12" s="8">
        <f>10974.77+1690</f>
        <v>12664.77</v>
      </c>
      <c r="U12" s="8">
        <f>45018-9.72</f>
        <v>45008.28</v>
      </c>
      <c r="V12" s="8">
        <v>4275</v>
      </c>
      <c r="W12" s="8"/>
      <c r="X12" s="8"/>
      <c r="Y12" s="8"/>
      <c r="Z12" s="8"/>
      <c r="AA12" s="8">
        <f>38000+5000-38000-5000</f>
        <v>0</v>
      </c>
      <c r="AB12" s="8">
        <f>+(38000+1250+28377.34)+3750+1400+1400+2549+2800</f>
        <v>79526.34</v>
      </c>
      <c r="AC12" s="8">
        <v>21000</v>
      </c>
      <c r="AD12" s="8">
        <f>11867+61907.86+650+1728.88+22016.51</f>
        <v>98170.25</v>
      </c>
      <c r="AE12" s="8"/>
      <c r="AF12" s="4"/>
      <c r="AG12" s="4"/>
      <c r="AH12" s="4">
        <v>31640.3</v>
      </c>
      <c r="AI12" s="4">
        <v>35970</v>
      </c>
    </row>
    <row r="13" spans="1:42" s="1" customFormat="1" x14ac:dyDescent="0.4">
      <c r="A13" s="19" t="s">
        <v>82</v>
      </c>
      <c r="B13" s="20"/>
      <c r="C13" s="20"/>
      <c r="D13" s="20"/>
      <c r="E13" s="20"/>
      <c r="F13" s="20"/>
      <c r="G13" s="20"/>
      <c r="H13" s="26"/>
      <c r="I13" s="26"/>
      <c r="J13" s="26"/>
      <c r="K13" s="26"/>
      <c r="L13" s="26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4"/>
      <c r="AG13" s="4">
        <v>10380</v>
      </c>
      <c r="AI13" s="4">
        <v>30480</v>
      </c>
    </row>
    <row r="14" spans="1:42" s="4" customFormat="1" x14ac:dyDescent="0.4">
      <c r="A14" s="19" t="s">
        <v>83</v>
      </c>
      <c r="B14" s="8"/>
      <c r="C14" s="23"/>
      <c r="D14" s="23"/>
      <c r="E14" s="23"/>
      <c r="F14" s="8"/>
      <c r="G14" s="8"/>
      <c r="H14" s="8">
        <f>22059+23907+23519-6.11</f>
        <v>69478.89</v>
      </c>
      <c r="I14" s="8"/>
      <c r="J14" s="8"/>
      <c r="K14" s="8">
        <f>66177-22059-6.11</f>
        <v>44111.89</v>
      </c>
      <c r="L14" s="8">
        <f>70577.4-23519+3450</f>
        <v>50508.399999999994</v>
      </c>
      <c r="M14" s="36">
        <v>1496</v>
      </c>
      <c r="N14" s="8"/>
      <c r="O14" s="8"/>
      <c r="P14" s="8"/>
      <c r="Q14" s="8"/>
      <c r="R14" s="8"/>
      <c r="S14" s="8"/>
      <c r="T14" s="8">
        <f>1125+1620</f>
        <v>2745</v>
      </c>
      <c r="U14" s="8"/>
      <c r="V14" s="8">
        <f>3807.4</f>
        <v>3807.4</v>
      </c>
      <c r="W14" s="8"/>
      <c r="X14" s="8"/>
      <c r="Y14" s="8"/>
      <c r="Z14" s="8"/>
      <c r="AA14" s="8"/>
      <c r="AB14" s="8"/>
      <c r="AC14" s="8"/>
      <c r="AD14" s="8"/>
      <c r="AE14" s="8"/>
    </row>
    <row r="15" spans="1:42" s="4" customFormat="1" x14ac:dyDescent="0.4">
      <c r="A15" s="19" t="s">
        <v>84</v>
      </c>
      <c r="B15" s="8"/>
      <c r="C15" s="23"/>
      <c r="D15" s="23"/>
      <c r="E15" s="23"/>
      <c r="F15" s="8"/>
      <c r="G15" s="8"/>
      <c r="H15" s="8"/>
      <c r="I15" s="8">
        <f>379.3+1812</f>
        <v>2191.3000000000002</v>
      </c>
      <c r="J15" s="8"/>
      <c r="K15" s="8"/>
      <c r="L15" s="8"/>
      <c r="M15" s="36">
        <v>408</v>
      </c>
      <c r="N15" s="8"/>
      <c r="O15" s="8"/>
      <c r="P15" s="8">
        <f>1002.24+1560</f>
        <v>2562.2399999999998</v>
      </c>
      <c r="Q15" s="8">
        <v>474.9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v>406.75</v>
      </c>
      <c r="AC15" s="8"/>
      <c r="AD15" s="8">
        <v>1152</v>
      </c>
      <c r="AE15" s="8"/>
    </row>
    <row r="16" spans="1:42" s="4" customFormat="1" x14ac:dyDescent="0.4">
      <c r="A16" s="19" t="s">
        <v>85</v>
      </c>
      <c r="B16" s="8"/>
      <c r="C16" s="23"/>
      <c r="D16" s="44"/>
      <c r="E16" s="23"/>
      <c r="F16" s="8"/>
      <c r="G16" s="8"/>
      <c r="H16" s="8"/>
      <c r="I16" s="8"/>
      <c r="J16" s="8">
        <f>47500*0.85*1.2-(10540*3)</f>
        <v>16830</v>
      </c>
      <c r="K16" s="8">
        <v>1613.89</v>
      </c>
      <c r="L16" s="8"/>
      <c r="M16" s="36">
        <f>3780+9300+8370</f>
        <v>21450</v>
      </c>
      <c r="N16" s="8"/>
      <c r="O16" s="8"/>
      <c r="P16" s="8">
        <f>9305</f>
        <v>9305</v>
      </c>
      <c r="Q16" s="8">
        <v>1235</v>
      </c>
      <c r="R16" s="8"/>
      <c r="S16" s="8"/>
      <c r="T16" s="8">
        <v>3330</v>
      </c>
      <c r="U16" s="8"/>
      <c r="V16" s="8">
        <v>225</v>
      </c>
      <c r="W16" s="8"/>
      <c r="X16" s="8"/>
      <c r="Y16" s="8"/>
      <c r="Z16" s="8"/>
      <c r="AA16" s="8"/>
      <c r="AB16" s="8"/>
      <c r="AC16" s="8">
        <v>2000</v>
      </c>
      <c r="AD16" s="8">
        <f>15800-3160</f>
        <v>12640</v>
      </c>
      <c r="AE16" s="8">
        <v>0</v>
      </c>
    </row>
    <row r="17" spans="1:59" s="4" customFormat="1" x14ac:dyDescent="0.4">
      <c r="A17" s="19" t="s">
        <v>86</v>
      </c>
      <c r="B17" s="8"/>
      <c r="C17" s="23"/>
      <c r="D17" s="23"/>
      <c r="E17" s="23"/>
      <c r="F17" s="8"/>
      <c r="G17" s="8"/>
      <c r="H17" s="8"/>
      <c r="I17" s="8"/>
      <c r="J17" s="8">
        <f>8000+8000+8000</f>
        <v>24000</v>
      </c>
      <c r="K17" s="8"/>
      <c r="L17" s="8">
        <v>991.2</v>
      </c>
      <c r="M17" s="8"/>
      <c r="N17" s="8"/>
      <c r="O17" s="8"/>
      <c r="P17" s="8">
        <v>-43.2</v>
      </c>
      <c r="Q17" s="8">
        <v>-13.33</v>
      </c>
      <c r="R17" s="8"/>
      <c r="S17" s="8"/>
      <c r="T17" s="8">
        <v>-24.16</v>
      </c>
      <c r="U17" s="8"/>
      <c r="V17" s="8">
        <v>-20.27</v>
      </c>
      <c r="W17" s="8"/>
      <c r="X17" s="8"/>
      <c r="Y17" s="8"/>
      <c r="Z17" s="8"/>
      <c r="AA17" s="8"/>
      <c r="AB17" s="8"/>
      <c r="AC17" s="8"/>
      <c r="AD17" s="8"/>
      <c r="AE17" s="8"/>
      <c r="AI17" s="4">
        <v>36840</v>
      </c>
      <c r="AJ17" s="4">
        <v>36840</v>
      </c>
    </row>
    <row r="18" spans="1:59" s="4" customFormat="1" x14ac:dyDescent="0.4">
      <c r="A18" s="19" t="s">
        <v>87</v>
      </c>
      <c r="B18" s="8"/>
      <c r="C18" s="23"/>
      <c r="D18" s="23"/>
      <c r="E18" s="23"/>
      <c r="F18" s="8">
        <v>-24.16</v>
      </c>
      <c r="G18" s="8"/>
      <c r="H18" s="8"/>
      <c r="I18" s="8"/>
      <c r="J18" s="8">
        <v>-78.59</v>
      </c>
      <c r="K18" s="8"/>
      <c r="L18" s="8">
        <v>-27.77</v>
      </c>
      <c r="M18" s="8">
        <v>-73.87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39600</v>
      </c>
      <c r="Y18" s="8"/>
      <c r="Z18" s="8"/>
      <c r="AA18" s="8"/>
      <c r="AB18" s="8"/>
      <c r="AC18" s="8"/>
      <c r="AD18" s="8"/>
      <c r="AE18" s="8"/>
    </row>
    <row r="19" spans="1:59" s="4" customFormat="1" x14ac:dyDescent="0.4">
      <c r="A19" s="19" t="s">
        <v>88</v>
      </c>
      <c r="B19" s="8"/>
      <c r="C19" s="23"/>
      <c r="D19" s="23"/>
      <c r="E19" s="23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2052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59" s="4" customFormat="1" x14ac:dyDescent="0.4">
      <c r="A20" s="19" t="s">
        <v>89</v>
      </c>
      <c r="B20" s="8"/>
      <c r="C20" s="23"/>
      <c r="D20" s="23"/>
      <c r="E20" s="2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2220</v>
      </c>
      <c r="W20" s="8"/>
      <c r="X20" s="8"/>
      <c r="Y20" s="8"/>
      <c r="Z20" s="8"/>
      <c r="AA20" s="8"/>
      <c r="AB20" s="8"/>
      <c r="AC20" s="8"/>
      <c r="AD20" s="8"/>
      <c r="AE20" s="8"/>
      <c r="AG20" s="4">
        <v>3720</v>
      </c>
      <c r="AH20" s="4">
        <f>7999.2</f>
        <v>7999.2</v>
      </c>
    </row>
    <row r="21" spans="1:59" s="4" customFormat="1" x14ac:dyDescent="0.4">
      <c r="A21" s="19" t="s">
        <v>90</v>
      </c>
      <c r="B21" s="8"/>
      <c r="C21" s="23"/>
      <c r="D21" s="23"/>
      <c r="E21" s="2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16321.15</v>
      </c>
      <c r="W21" s="8"/>
      <c r="X21" s="8"/>
      <c r="Y21" s="8"/>
      <c r="Z21" s="8"/>
      <c r="AA21" s="8"/>
      <c r="AB21" s="8"/>
      <c r="AC21" s="8"/>
      <c r="AD21" s="8"/>
      <c r="AE21" s="8"/>
    </row>
    <row r="22" spans="1:59" s="4" customFormat="1" x14ac:dyDescent="0.4">
      <c r="A22" s="19" t="s">
        <v>91</v>
      </c>
      <c r="B22" s="8"/>
      <c r="C22" s="23"/>
      <c r="D22" s="23"/>
      <c r="E22" s="2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>
        <f>45000</f>
        <v>45000</v>
      </c>
      <c r="AJ22" s="4">
        <f>2875*1.2*3</f>
        <v>10350</v>
      </c>
    </row>
    <row r="23" spans="1:59" s="4" customFormat="1" x14ac:dyDescent="0.4">
      <c r="A23" s="19" t="s">
        <v>92</v>
      </c>
      <c r="B23" s="8"/>
      <c r="C23" s="23"/>
      <c r="D23" s="23"/>
      <c r="E23" s="23"/>
      <c r="F23" s="8"/>
      <c r="G23" s="8"/>
      <c r="H23" s="8"/>
      <c r="I23" s="8"/>
      <c r="J23" s="8">
        <v>-131363.04</v>
      </c>
      <c r="K23" s="8">
        <v>131363.04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0</v>
      </c>
      <c r="AD23" s="8"/>
      <c r="AE23" s="8"/>
      <c r="AH23" s="4">
        <f>5666.66666666667*2+9800</f>
        <v>21133.333333333339</v>
      </c>
    </row>
    <row r="24" spans="1:59" s="4" customFormat="1" x14ac:dyDescent="0.4">
      <c r="A24" s="19" t="s">
        <v>93</v>
      </c>
      <c r="B24" s="8"/>
      <c r="C24" s="23"/>
      <c r="D24" s="23"/>
      <c r="E24" s="2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>
        <v>0</v>
      </c>
      <c r="AD24" s="8"/>
      <c r="AE24" s="8"/>
      <c r="AH24" s="4">
        <v>5400</v>
      </c>
    </row>
    <row r="25" spans="1:59" s="4" customFormat="1" x14ac:dyDescent="0.4">
      <c r="A25" s="19" t="s">
        <v>94</v>
      </c>
      <c r="B25" s="8"/>
      <c r="C25" s="23"/>
      <c r="D25" s="23"/>
      <c r="E25" s="2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59" s="18" customFormat="1" x14ac:dyDescent="0.4">
      <c r="A26" s="21" t="s">
        <v>45</v>
      </c>
      <c r="B26" s="5">
        <f t="shared" ref="B26:I26" si="0">SUM(B3:B18)</f>
        <v>0</v>
      </c>
      <c r="C26" s="5">
        <f t="shared" si="0"/>
        <v>31418.92</v>
      </c>
      <c r="D26" s="5">
        <f t="shared" si="0"/>
        <v>95918.88</v>
      </c>
      <c r="E26" s="5">
        <f t="shared" si="0"/>
        <v>18463.060000000001</v>
      </c>
      <c r="F26" s="5">
        <f t="shared" si="0"/>
        <v>90978.16</v>
      </c>
      <c r="G26" s="5">
        <f t="shared" si="0"/>
        <v>25270.28</v>
      </c>
      <c r="H26" s="5">
        <f t="shared" si="0"/>
        <v>90669.53</v>
      </c>
      <c r="I26" s="5">
        <f t="shared" si="0"/>
        <v>38262.1</v>
      </c>
      <c r="J26" s="5">
        <f>SUM(J3:J23)</f>
        <v>0</v>
      </c>
      <c r="K26" s="5">
        <f>SUM(K3:K23)</f>
        <v>229164.1</v>
      </c>
      <c r="L26" s="5">
        <f t="shared" ref="L26:U26" si="1">SUM(L3:L19)</f>
        <v>60782.229999999996</v>
      </c>
      <c r="M26" s="5">
        <f t="shared" si="1"/>
        <v>53370.13</v>
      </c>
      <c r="N26" s="5">
        <f t="shared" si="1"/>
        <v>0</v>
      </c>
      <c r="O26" s="5">
        <f t="shared" si="1"/>
        <v>54674</v>
      </c>
      <c r="P26" s="5">
        <f t="shared" si="1"/>
        <v>92154.540000000008</v>
      </c>
      <c r="Q26" s="5">
        <f t="shared" si="1"/>
        <v>6544.57</v>
      </c>
      <c r="R26" s="5">
        <f t="shared" si="1"/>
        <v>0</v>
      </c>
      <c r="S26" s="5">
        <f t="shared" si="1"/>
        <v>6322.69</v>
      </c>
      <c r="T26" s="5">
        <f t="shared" si="1"/>
        <v>23480</v>
      </c>
      <c r="U26" s="5">
        <f t="shared" si="1"/>
        <v>57788.66</v>
      </c>
      <c r="V26" s="5">
        <f t="shared" ref="V26:AA26" si="2">SUM(V3:V23)</f>
        <v>67181.95</v>
      </c>
      <c r="W26" s="5">
        <f t="shared" si="2"/>
        <v>0</v>
      </c>
      <c r="X26" s="5">
        <f t="shared" si="2"/>
        <v>39600</v>
      </c>
      <c r="Y26" s="5">
        <f t="shared" si="2"/>
        <v>0</v>
      </c>
      <c r="Z26" s="5">
        <f t="shared" si="2"/>
        <v>0</v>
      </c>
      <c r="AA26" s="5">
        <f t="shared" si="2"/>
        <v>0</v>
      </c>
      <c r="AB26" s="5">
        <f>SUM(AB3:AB24)</f>
        <v>108239.2</v>
      </c>
      <c r="AC26" s="5">
        <f>SUM(AC3:AC24)</f>
        <v>23000</v>
      </c>
      <c r="AD26" s="5">
        <f>SUM(AD3:AD24)</f>
        <v>137512.25</v>
      </c>
      <c r="AE26" s="5">
        <f t="shared" ref="AE26:AN26" si="3">SUM(AE3:AE25)</f>
        <v>86506.81</v>
      </c>
      <c r="AF26" s="5">
        <f t="shared" si="3"/>
        <v>35992.800000000003</v>
      </c>
      <c r="AG26" s="5">
        <f t="shared" si="3"/>
        <v>118627.63</v>
      </c>
      <c r="AH26" s="5">
        <f t="shared" si="3"/>
        <v>297548.83333333331</v>
      </c>
      <c r="AI26" s="5">
        <f t="shared" si="3"/>
        <v>148617.60000000001</v>
      </c>
      <c r="AJ26" s="5">
        <f t="shared" si="3"/>
        <v>47190</v>
      </c>
      <c r="AK26" s="5">
        <f t="shared" si="3"/>
        <v>0</v>
      </c>
      <c r="AL26" s="5">
        <f t="shared" si="3"/>
        <v>0</v>
      </c>
      <c r="AM26" s="5">
        <f t="shared" si="3"/>
        <v>110000</v>
      </c>
      <c r="AN26" s="5">
        <f t="shared" si="3"/>
        <v>0</v>
      </c>
      <c r="AO26" s="5">
        <f t="shared" ref="AO26:AP26" si="4">SUM(AO3:AO25)</f>
        <v>0</v>
      </c>
      <c r="AP26" s="5">
        <f t="shared" si="4"/>
        <v>0</v>
      </c>
    </row>
    <row r="28" spans="1:59" s="1" customFormat="1" x14ac:dyDescent="0.4">
      <c r="A28" s="9"/>
      <c r="B28" s="9"/>
      <c r="C28" s="10"/>
      <c r="D28" s="13"/>
      <c r="E28" s="10"/>
      <c r="F28" s="10"/>
      <c r="G28" s="11" t="s">
        <v>51</v>
      </c>
      <c r="I28" s="11" t="s">
        <v>52</v>
      </c>
      <c r="J28" s="11"/>
      <c r="K28" s="11"/>
      <c r="L28" s="11"/>
      <c r="M28" s="11"/>
    </row>
    <row r="29" spans="1:59" s="32" customFormat="1" x14ac:dyDescent="0.4">
      <c r="A29" s="31" t="s">
        <v>104</v>
      </c>
      <c r="C29" s="33" t="s">
        <v>53</v>
      </c>
      <c r="D29" s="33" t="s">
        <v>53</v>
      </c>
      <c r="E29" s="33" t="s">
        <v>53</v>
      </c>
      <c r="F29" s="33" t="s">
        <v>53</v>
      </c>
      <c r="G29" s="33" t="s">
        <v>53</v>
      </c>
      <c r="H29" s="33" t="s">
        <v>53</v>
      </c>
      <c r="I29" s="33" t="s">
        <v>53</v>
      </c>
      <c r="J29" s="33" t="s">
        <v>53</v>
      </c>
      <c r="K29" s="33" t="s">
        <v>53</v>
      </c>
      <c r="L29" s="33" t="s">
        <v>53</v>
      </c>
      <c r="M29" s="33" t="s">
        <v>53</v>
      </c>
      <c r="N29" s="33" t="s">
        <v>53</v>
      </c>
      <c r="O29" s="33" t="s">
        <v>53</v>
      </c>
      <c r="P29" s="33" t="s">
        <v>53</v>
      </c>
      <c r="Q29" s="33" t="s">
        <v>53</v>
      </c>
      <c r="R29" s="33" t="s">
        <v>53</v>
      </c>
      <c r="S29" s="33" t="s">
        <v>53</v>
      </c>
      <c r="T29" s="33" t="s">
        <v>53</v>
      </c>
      <c r="U29" s="33" t="s">
        <v>53</v>
      </c>
      <c r="V29" s="33" t="s">
        <v>53</v>
      </c>
      <c r="W29" s="32" t="str">
        <f t="shared" ref="W29:AO29" si="5">+W1</f>
        <v>Consuntivato</v>
      </c>
      <c r="X29" s="32" t="str">
        <f t="shared" si="5"/>
        <v>Consuntivato</v>
      </c>
      <c r="Y29" s="45" t="str">
        <f t="shared" si="5"/>
        <v>Consuntivato</v>
      </c>
      <c r="Z29" s="45" t="str">
        <f t="shared" si="5"/>
        <v>Consuntivato</v>
      </c>
      <c r="AA29" s="45" t="str">
        <f t="shared" si="5"/>
        <v>Consuntivato</v>
      </c>
      <c r="AB29" s="45" t="str">
        <f t="shared" si="5"/>
        <v>Consuntivato</v>
      </c>
      <c r="AC29" s="45" t="str">
        <f t="shared" si="5"/>
        <v>Consuntivato</v>
      </c>
      <c r="AD29" s="45" t="str">
        <f t="shared" si="5"/>
        <v>Consuntivato</v>
      </c>
      <c r="AE29" s="45" t="str">
        <f t="shared" si="5"/>
        <v>Consuntivato</v>
      </c>
      <c r="AF29" s="45" t="str">
        <f t="shared" si="5"/>
        <v>Consuntivato</v>
      </c>
      <c r="AG29" s="45">
        <f t="shared" si="5"/>
        <v>0</v>
      </c>
      <c r="AH29" s="45">
        <f t="shared" si="5"/>
        <v>0</v>
      </c>
      <c r="AI29" s="45">
        <f t="shared" si="5"/>
        <v>0</v>
      </c>
      <c r="AJ29" s="45">
        <f t="shared" si="5"/>
        <v>0</v>
      </c>
      <c r="AK29" s="45">
        <f t="shared" si="5"/>
        <v>0</v>
      </c>
      <c r="AL29" s="45">
        <f t="shared" si="5"/>
        <v>0</v>
      </c>
      <c r="AM29" s="45">
        <f t="shared" si="5"/>
        <v>0</v>
      </c>
      <c r="AN29" s="45">
        <f t="shared" si="5"/>
        <v>0</v>
      </c>
      <c r="AO29" s="45">
        <f t="shared" si="5"/>
        <v>0</v>
      </c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</row>
    <row r="30" spans="1:59" s="15" customFormat="1" ht="15" x14ac:dyDescent="0.5">
      <c r="A30" s="16">
        <f t="shared" ref="A30:A53" si="6">+A2</f>
        <v>2019</v>
      </c>
      <c r="B30" s="2">
        <v>4</v>
      </c>
      <c r="C30" s="2">
        <v>5</v>
      </c>
      <c r="D30" s="2">
        <v>6</v>
      </c>
      <c r="E30" s="2">
        <v>7</v>
      </c>
      <c r="F30" s="2">
        <v>8</v>
      </c>
      <c r="G30" s="2">
        <v>9</v>
      </c>
      <c r="H30" s="2">
        <v>10</v>
      </c>
      <c r="I30" s="2">
        <v>11</v>
      </c>
      <c r="J30" s="2">
        <v>12</v>
      </c>
      <c r="K30" s="22">
        <v>1</v>
      </c>
      <c r="L30" s="22">
        <v>2</v>
      </c>
      <c r="M30" s="22">
        <v>3</v>
      </c>
      <c r="N30" s="22">
        <v>4</v>
      </c>
      <c r="O30" s="22">
        <v>5</v>
      </c>
      <c r="P30" s="22">
        <v>6</v>
      </c>
      <c r="Q30" s="22">
        <v>7</v>
      </c>
      <c r="R30" s="22">
        <v>8</v>
      </c>
      <c r="S30" s="22">
        <v>9</v>
      </c>
      <c r="T30" s="22">
        <v>10</v>
      </c>
      <c r="U30" s="22">
        <v>11</v>
      </c>
      <c r="V30" s="22">
        <v>12</v>
      </c>
      <c r="W30" s="22">
        <v>1</v>
      </c>
      <c r="X30" s="22">
        <v>2</v>
      </c>
      <c r="Y30" s="22">
        <v>3</v>
      </c>
      <c r="Z30" s="22">
        <v>4</v>
      </c>
      <c r="AA30" s="22">
        <v>5</v>
      </c>
      <c r="AB30" s="22">
        <v>6</v>
      </c>
      <c r="AC30" s="22">
        <v>7</v>
      </c>
      <c r="AD30" s="22">
        <v>8</v>
      </c>
      <c r="AE30" s="22">
        <v>9</v>
      </c>
      <c r="AF30" s="22">
        <v>10</v>
      </c>
      <c r="AG30" s="22">
        <v>11</v>
      </c>
      <c r="AH30" s="22">
        <v>12</v>
      </c>
      <c r="AI30" s="22">
        <v>1</v>
      </c>
      <c r="AJ30" s="22">
        <v>2</v>
      </c>
      <c r="AK30" s="22">
        <v>3</v>
      </c>
      <c r="AL30" s="22">
        <v>4</v>
      </c>
      <c r="AM30" s="22">
        <v>5</v>
      </c>
      <c r="AN30" s="22">
        <v>6</v>
      </c>
      <c r="AO30" s="22">
        <v>7</v>
      </c>
      <c r="AP30" s="22">
        <v>8</v>
      </c>
    </row>
    <row r="31" spans="1:59" s="1" customFormat="1" x14ac:dyDescent="0.4">
      <c r="A31" s="9" t="str">
        <f t="shared" si="6"/>
        <v>Cliente 1</v>
      </c>
      <c r="B31" s="10"/>
      <c r="C31" s="13"/>
      <c r="D31" s="13"/>
      <c r="E31" s="13"/>
      <c r="F31" s="10"/>
      <c r="G31" s="10"/>
      <c r="H31" s="11"/>
      <c r="I31" s="11"/>
      <c r="J31" s="11"/>
      <c r="K31" s="11"/>
      <c r="L31" s="25"/>
      <c r="M31" s="11"/>
      <c r="P31" s="4"/>
    </row>
    <row r="32" spans="1:59" s="4" customFormat="1" x14ac:dyDescent="0.4">
      <c r="A32" s="9" t="str">
        <f t="shared" si="6"/>
        <v>Cliente 2</v>
      </c>
      <c r="C32" s="12">
        <v>5378.77</v>
      </c>
      <c r="D32" s="12"/>
      <c r="E32" s="12"/>
      <c r="H32" s="8"/>
      <c r="J32" s="8"/>
      <c r="K32" s="8"/>
      <c r="L32" s="8"/>
      <c r="M32" s="8"/>
      <c r="N32" s="8"/>
      <c r="O32" s="8"/>
      <c r="P32" s="8"/>
      <c r="T32" s="8"/>
      <c r="AB32" s="4">
        <f>+AA4/3</f>
        <v>0</v>
      </c>
      <c r="AC32" s="4">
        <f>+AA4/3</f>
        <v>0</v>
      </c>
      <c r="AD32" s="8"/>
      <c r="AE32" s="8">
        <f>+AC4/2</f>
        <v>0</v>
      </c>
      <c r="AF32" s="8">
        <f>+AC4/2</f>
        <v>0</v>
      </c>
      <c r="AG32" s="8"/>
      <c r="AH32" s="8"/>
      <c r="AI32" s="8"/>
      <c r="AJ32" s="4">
        <v>35992.800000000003</v>
      </c>
      <c r="AK32" s="4">
        <v>74412</v>
      </c>
      <c r="AL32" s="4">
        <v>200376</v>
      </c>
    </row>
    <row r="33" spans="1:40" s="1" customFormat="1" x14ac:dyDescent="0.4">
      <c r="A33" s="9" t="str">
        <f t="shared" si="6"/>
        <v>Cliente 3</v>
      </c>
      <c r="B33" s="10"/>
      <c r="C33" s="13"/>
      <c r="D33" s="12">
        <v>9623.0400000000009</v>
      </c>
      <c r="E33" s="12">
        <v>68824.740000000005</v>
      </c>
      <c r="F33" s="10">
        <v>24644.720000000001</v>
      </c>
      <c r="G33" s="10"/>
      <c r="H33" s="20">
        <v>31608.21</v>
      </c>
      <c r="I33" s="10">
        <v>31992.71</v>
      </c>
      <c r="J33" s="24"/>
      <c r="K33" s="24"/>
      <c r="L33" s="5"/>
      <c r="M33" s="20"/>
      <c r="N33" s="5"/>
      <c r="O33" s="8">
        <v>29278.89</v>
      </c>
      <c r="P33" s="8"/>
      <c r="Q33" s="8">
        <f>12650+2376-12655</f>
        <v>2371</v>
      </c>
      <c r="R33" s="8"/>
      <c r="S33" s="8">
        <f>52298+8100</f>
        <v>60398</v>
      </c>
      <c r="T33" s="8">
        <f>47487.5</f>
        <v>47487.5</v>
      </c>
      <c r="U33" s="4"/>
      <c r="V33" s="4"/>
      <c r="W33" s="4"/>
      <c r="X33" s="4"/>
      <c r="Y33" s="4"/>
      <c r="Z33" s="4">
        <v>27993.89</v>
      </c>
      <c r="AA33" s="4"/>
      <c r="AB33" s="4"/>
      <c r="AC33" s="4"/>
      <c r="AD33" s="8"/>
      <c r="AE33" s="8">
        <f>+AB5</f>
        <v>24609.439999999999</v>
      </c>
      <c r="AF33" s="8"/>
      <c r="AG33" s="8">
        <f t="shared" ref="AG33:AL33" si="7">+AC5</f>
        <v>0</v>
      </c>
      <c r="AH33" s="8">
        <f t="shared" si="7"/>
        <v>0</v>
      </c>
      <c r="AI33" s="8">
        <f t="shared" si="7"/>
        <v>41506.81</v>
      </c>
      <c r="AJ33" s="4">
        <f t="shared" si="7"/>
        <v>0</v>
      </c>
      <c r="AK33" s="4">
        <f t="shared" si="7"/>
        <v>30115.63</v>
      </c>
      <c r="AL33" s="4">
        <f t="shared" si="7"/>
        <v>31000</v>
      </c>
      <c r="AN33" s="1">
        <v>110000</v>
      </c>
    </row>
    <row r="34" spans="1:40" s="1" customFormat="1" x14ac:dyDescent="0.4">
      <c r="A34" s="9" t="str">
        <f t="shared" si="6"/>
        <v>Cliente 4</v>
      </c>
      <c r="B34" s="10"/>
      <c r="C34" s="13"/>
      <c r="D34" s="13"/>
      <c r="E34" s="13">
        <v>2364</v>
      </c>
      <c r="F34" s="4">
        <v>4620</v>
      </c>
      <c r="G34" s="4">
        <f>372+1296</f>
        <v>1668</v>
      </c>
      <c r="H34" s="26">
        <v>4616.3900000000003</v>
      </c>
      <c r="I34" s="25">
        <f>3850*1.2-3.61</f>
        <v>4616.3900000000003</v>
      </c>
      <c r="J34" s="26">
        <f>3850*1.2+1152+816</f>
        <v>6588</v>
      </c>
      <c r="K34" s="26">
        <f>3850*1.2+3615*1.2</f>
        <v>8958</v>
      </c>
      <c r="L34" s="26">
        <f>3850*1.2</f>
        <v>4620</v>
      </c>
      <c r="M34" s="26">
        <f>3850*1.2</f>
        <v>4620</v>
      </c>
      <c r="N34" s="26">
        <f>3850*1.2</f>
        <v>4620</v>
      </c>
      <c r="O34" s="26">
        <f>1580+4620</f>
        <v>6200</v>
      </c>
      <c r="P34" s="26">
        <f>3850*1.2+1550+250</f>
        <v>6420</v>
      </c>
      <c r="Q34" s="26"/>
      <c r="R34" s="8">
        <v>2929</v>
      </c>
      <c r="S34" s="8">
        <f>2929</f>
        <v>2929</v>
      </c>
      <c r="T34" s="8">
        <f>2424-13.93+2424</f>
        <v>4834.07</v>
      </c>
      <c r="V34" s="4">
        <f>1596</f>
        <v>1596</v>
      </c>
      <c r="X34" s="4">
        <f>1920+2615.89</f>
        <v>4535.8899999999994</v>
      </c>
      <c r="Y34" s="4">
        <f>2615.89+2886</f>
        <v>5501.8899999999994</v>
      </c>
      <c r="Z34" s="4">
        <v>2615.89</v>
      </c>
      <c r="AA34" s="4"/>
      <c r="AD34" s="5"/>
      <c r="AE34" s="5"/>
      <c r="AF34" s="5"/>
      <c r="AG34" s="5"/>
      <c r="AH34" s="8"/>
      <c r="AI34" s="8"/>
    </row>
    <row r="35" spans="1:40" s="1" customFormat="1" x14ac:dyDescent="0.4">
      <c r="A35" s="9" t="str">
        <f t="shared" si="6"/>
        <v>Cliente 5</v>
      </c>
      <c r="B35" s="10"/>
      <c r="C35" s="13"/>
      <c r="D35" s="13"/>
      <c r="E35" s="13"/>
      <c r="F35" s="10"/>
      <c r="G35" s="25">
        <v>540</v>
      </c>
      <c r="H35" s="5"/>
      <c r="I35" s="11"/>
      <c r="J35" s="26"/>
      <c r="K35" s="26"/>
      <c r="L35" s="26"/>
      <c r="M35" s="26"/>
      <c r="N35" s="5"/>
      <c r="O35" s="26">
        <f>950*1.2</f>
        <v>1140</v>
      </c>
      <c r="P35" s="5"/>
      <c r="Q35" s="5"/>
      <c r="R35" s="5"/>
      <c r="S35" s="5"/>
      <c r="T35" s="5"/>
      <c r="V35" s="4">
        <v>6322.8</v>
      </c>
      <c r="AD35" s="5"/>
      <c r="AE35" s="5"/>
      <c r="AF35" s="5"/>
      <c r="AG35" s="5"/>
      <c r="AH35" s="5"/>
      <c r="AI35" s="5"/>
    </row>
    <row r="36" spans="1:40" s="4" customFormat="1" x14ac:dyDescent="0.4">
      <c r="A36" s="9" t="str">
        <f t="shared" si="6"/>
        <v>Cliente 6</v>
      </c>
      <c r="C36" s="12"/>
      <c r="D36" s="12">
        <v>3984</v>
      </c>
      <c r="E36" s="12"/>
      <c r="H36" s="8"/>
      <c r="J36" s="8"/>
      <c r="K36" s="8"/>
      <c r="L36" s="8"/>
      <c r="M36" s="8"/>
      <c r="N36" s="8"/>
      <c r="O36" s="8"/>
      <c r="P36" s="8"/>
      <c r="Q36" s="8"/>
      <c r="R36" s="8">
        <v>14100</v>
      </c>
      <c r="S36" s="8">
        <f>14100</f>
        <v>14100</v>
      </c>
      <c r="T36" s="8"/>
      <c r="Y36" s="4">
        <f>+U8</f>
        <v>7610.38</v>
      </c>
      <c r="AD36" s="8"/>
      <c r="AE36" s="8"/>
      <c r="AF36" s="8"/>
      <c r="AG36" s="8"/>
      <c r="AH36" s="8"/>
      <c r="AI36" s="8"/>
    </row>
    <row r="37" spans="1:40" s="1" customFormat="1" x14ac:dyDescent="0.4">
      <c r="A37" s="9" t="str">
        <f t="shared" si="6"/>
        <v>Cliente 7</v>
      </c>
      <c r="B37" s="10"/>
      <c r="C37" s="13">
        <v>2414</v>
      </c>
      <c r="D37" s="13">
        <f>4800+3290</f>
        <v>8090</v>
      </c>
      <c r="E37" s="10">
        <v>3360</v>
      </c>
      <c r="G37" s="10">
        <f>16040+1970</f>
        <v>18010</v>
      </c>
      <c r="H37" s="5"/>
      <c r="I37" s="26"/>
      <c r="J37" s="26">
        <v>1970</v>
      </c>
      <c r="K37" s="26">
        <v>570</v>
      </c>
      <c r="L37" s="26">
        <v>480</v>
      </c>
      <c r="M37" s="8">
        <f>6400+750</f>
        <v>7150</v>
      </c>
      <c r="O37" s="5"/>
      <c r="P37" s="8">
        <f>1710+2020+2240</f>
        <v>5970</v>
      </c>
      <c r="Q37" s="8">
        <f>9100-2020-2240</f>
        <v>4840</v>
      </c>
      <c r="R37" s="8"/>
      <c r="S37" s="8">
        <v>1140</v>
      </c>
      <c r="T37" s="5"/>
      <c r="W37" s="4">
        <v>1116.3900000000001</v>
      </c>
      <c r="Y37" s="4">
        <v>3250</v>
      </c>
      <c r="Z37" s="4">
        <v>1200</v>
      </c>
      <c r="AD37" s="5"/>
      <c r="AE37" s="8">
        <v>1800</v>
      </c>
      <c r="AF37" s="8"/>
      <c r="AG37" s="8">
        <v>1350</v>
      </c>
      <c r="AH37" s="8">
        <v>1400</v>
      </c>
      <c r="AI37" s="8"/>
      <c r="AJ37" s="4"/>
      <c r="AK37" s="4"/>
      <c r="AL37" s="4"/>
    </row>
    <row r="38" spans="1:40" s="1" customFormat="1" x14ac:dyDescent="0.4">
      <c r="A38" s="9" t="str">
        <f t="shared" si="6"/>
        <v>Cliente 8</v>
      </c>
      <c r="B38" s="10">
        <v>26400</v>
      </c>
      <c r="C38" s="13"/>
      <c r="D38" s="14"/>
      <c r="E38" s="14"/>
      <c r="G38" s="10">
        <f>32200-20.55+23000</f>
        <v>55179.45</v>
      </c>
      <c r="H38" s="20">
        <v>1133.8900000000001</v>
      </c>
      <c r="I38" s="10">
        <f>1136.39+22993.89</f>
        <v>24130.28</v>
      </c>
      <c r="J38" s="26">
        <f>+(270*38*1.2)</f>
        <v>12312</v>
      </c>
      <c r="K38" s="26">
        <f>+((720+58)*38*1.2)</f>
        <v>35476.799999999996</v>
      </c>
      <c r="L38" s="26">
        <v>28728</v>
      </c>
      <c r="M38" s="8"/>
      <c r="N38" s="26">
        <f>(500*38*1.2)-3.61</f>
        <v>22796.39</v>
      </c>
      <c r="O38" s="26"/>
      <c r="P38" s="5"/>
      <c r="Q38" s="5"/>
      <c r="R38" s="5"/>
      <c r="S38" s="5"/>
      <c r="T38" s="5"/>
      <c r="X38" s="4"/>
      <c r="AA38" s="4"/>
      <c r="AD38" s="8"/>
      <c r="AE38" s="5"/>
      <c r="AF38" s="8"/>
      <c r="AG38" s="8"/>
      <c r="AH38" s="8">
        <v>22800</v>
      </c>
      <c r="AI38" s="8"/>
      <c r="AJ38" s="4"/>
      <c r="AK38" s="4"/>
      <c r="AL38" s="4"/>
      <c r="AM38" s="4">
        <v>22800</v>
      </c>
    </row>
    <row r="39" spans="1:40" s="1" customFormat="1" x14ac:dyDescent="0.4">
      <c r="A39" s="9" t="str">
        <f t="shared" si="6"/>
        <v>Cliente 9</v>
      </c>
      <c r="B39" s="10"/>
      <c r="C39" s="12">
        <v>612</v>
      </c>
      <c r="D39" s="13">
        <v>888</v>
      </c>
      <c r="E39" s="13"/>
      <c r="G39" s="10"/>
      <c r="H39" s="24"/>
      <c r="I39" s="11"/>
      <c r="J39" s="26"/>
      <c r="K39" s="26">
        <f>594</f>
        <v>594</v>
      </c>
      <c r="L39" s="26"/>
      <c r="M39" s="26">
        <f>1613.89</f>
        <v>1613.89</v>
      </c>
      <c r="N39" s="5"/>
      <c r="O39" s="8">
        <v>194.4</v>
      </c>
      <c r="P39" s="5"/>
      <c r="Q39" s="5"/>
      <c r="R39" s="5"/>
      <c r="S39" s="8"/>
      <c r="T39" s="8"/>
      <c r="Y39" s="4">
        <v>420</v>
      </c>
      <c r="AD39" s="8">
        <v>1896.67</v>
      </c>
      <c r="AE39" s="5"/>
      <c r="AF39" s="5"/>
      <c r="AG39" s="8"/>
      <c r="AH39" s="8"/>
      <c r="AI39" s="8"/>
      <c r="AJ39" s="4"/>
      <c r="AK39" s="4"/>
      <c r="AL39" s="4">
        <v>22527.599999999999</v>
      </c>
    </row>
    <row r="40" spans="1:40" s="1" customFormat="1" x14ac:dyDescent="0.4">
      <c r="A40" s="9" t="str">
        <f t="shared" si="6"/>
        <v>Cliente 10</v>
      </c>
      <c r="B40" s="10"/>
      <c r="C40" s="14"/>
      <c r="D40" s="14"/>
      <c r="E40" s="13">
        <v>1085.1400000000001</v>
      </c>
      <c r="G40" s="10">
        <f>47902-3.11-0.22</f>
        <v>47898.67</v>
      </c>
      <c r="H40" s="10"/>
      <c r="I40" s="25"/>
      <c r="J40" s="26"/>
      <c r="K40" s="5"/>
      <c r="L40" s="8">
        <v>1813.5</v>
      </c>
      <c r="M40" s="8">
        <v>24730.959999999999</v>
      </c>
      <c r="N40" s="8"/>
      <c r="O40" s="8">
        <v>5826</v>
      </c>
      <c r="P40" s="8">
        <v>5400</v>
      </c>
      <c r="Q40" s="8"/>
      <c r="R40" s="8">
        <v>2200</v>
      </c>
      <c r="S40" s="5"/>
      <c r="T40" s="5"/>
      <c r="U40" s="4"/>
      <c r="V40" s="4">
        <v>1690</v>
      </c>
      <c r="W40" s="4"/>
      <c r="X40" s="4">
        <f>45018-9.72+10974.77</f>
        <v>55983.05</v>
      </c>
      <c r="Y40" s="4">
        <v>4275</v>
      </c>
      <c r="Z40" s="4"/>
      <c r="AA40" s="4"/>
      <c r="AB40" s="4"/>
      <c r="AC40" s="4"/>
      <c r="AD40" s="8"/>
      <c r="AE40" s="8">
        <f>2800+21599.5</f>
        <v>24399.5</v>
      </c>
      <c r="AF40" s="8">
        <f>3750+28377.34+1400+21599.5</f>
        <v>55126.84</v>
      </c>
      <c r="AG40" s="8"/>
      <c r="AH40" s="8">
        <f>21000+650+22016.51</f>
        <v>43666.509999999995</v>
      </c>
      <c r="AI40" s="8">
        <f>11867+61907.86+1728.88+AE12</f>
        <v>75503.740000000005</v>
      </c>
      <c r="AJ40" s="4"/>
      <c r="AK40" s="4"/>
      <c r="AL40" s="4"/>
      <c r="AM40" s="4">
        <v>31640.3</v>
      </c>
      <c r="AN40" s="4">
        <v>35970</v>
      </c>
    </row>
    <row r="41" spans="1:40" s="1" customFormat="1" x14ac:dyDescent="0.4">
      <c r="A41" s="9" t="str">
        <f t="shared" si="6"/>
        <v>Cliente 11</v>
      </c>
      <c r="B41" s="10"/>
      <c r="C41" s="10"/>
      <c r="D41" s="10"/>
      <c r="E41" s="10"/>
      <c r="F41" s="10"/>
      <c r="G41" s="10"/>
      <c r="H41" s="11"/>
      <c r="I41" s="11"/>
      <c r="J41" s="24"/>
      <c r="K41" s="24"/>
      <c r="L41" s="26"/>
      <c r="M41" s="26"/>
      <c r="N41" s="5"/>
      <c r="O41" s="5"/>
      <c r="P41" s="5"/>
      <c r="Q41" s="5"/>
      <c r="R41" s="5"/>
      <c r="S41" s="5"/>
      <c r="T41" s="5"/>
      <c r="AD41" s="5"/>
      <c r="AE41" s="5"/>
      <c r="AF41" s="5"/>
      <c r="AG41" s="8"/>
      <c r="AH41" s="8"/>
      <c r="AI41" s="8">
        <v>3460</v>
      </c>
      <c r="AJ41" s="8">
        <v>3460</v>
      </c>
      <c r="AK41" s="8">
        <f>3460+$AI$13/3</f>
        <v>13620</v>
      </c>
      <c r="AL41" s="8">
        <f>+$AI$13/3</f>
        <v>10160</v>
      </c>
      <c r="AM41" s="8">
        <f>+$AI$13/3</f>
        <v>10160</v>
      </c>
    </row>
    <row r="42" spans="1:40" s="4" customFormat="1" x14ac:dyDescent="0.4">
      <c r="A42" s="9" t="str">
        <f t="shared" si="6"/>
        <v>Cliente 12</v>
      </c>
      <c r="C42" s="12">
        <f>25171.39+50375.89</f>
        <v>75547.28</v>
      </c>
      <c r="D42" s="12">
        <f>50382+2800</f>
        <v>53182</v>
      </c>
      <c r="E42" s="12"/>
      <c r="J42" s="8">
        <f>22059+23907+23519-6.11</f>
        <v>69478.89</v>
      </c>
      <c r="K42" s="8"/>
      <c r="L42" s="8"/>
      <c r="M42" s="8">
        <v>44111.89</v>
      </c>
      <c r="O42" s="8">
        <v>50508.4</v>
      </c>
      <c r="P42" s="8">
        <v>1496</v>
      </c>
      <c r="Q42" s="8"/>
      <c r="R42" s="8"/>
      <c r="S42" s="8"/>
      <c r="T42" s="8"/>
      <c r="V42" s="4">
        <f>1125+1620</f>
        <v>2745</v>
      </c>
      <c r="Y42" s="4">
        <v>3800.28</v>
      </c>
      <c r="Z42" s="43"/>
      <c r="AD42" s="8"/>
      <c r="AE42" s="8"/>
      <c r="AF42" s="8"/>
      <c r="AG42" s="8"/>
      <c r="AH42" s="8"/>
      <c r="AI42" s="8"/>
    </row>
    <row r="43" spans="1:40" s="1" customFormat="1" x14ac:dyDescent="0.4">
      <c r="A43" s="9" t="str">
        <f t="shared" si="6"/>
        <v>Cliente 13</v>
      </c>
      <c r="B43" s="10"/>
      <c r="C43" s="10"/>
      <c r="D43" s="10"/>
      <c r="E43" s="10"/>
      <c r="F43" s="10"/>
      <c r="G43" s="10"/>
      <c r="H43" s="11"/>
      <c r="I43" s="11"/>
      <c r="J43" s="24"/>
      <c r="K43" s="26">
        <f>379.3+1812</f>
        <v>2191.3000000000002</v>
      </c>
      <c r="L43" s="26"/>
      <c r="M43" s="26"/>
      <c r="N43" s="5"/>
      <c r="O43" s="5"/>
      <c r="P43" s="8"/>
      <c r="Q43" s="8">
        <v>408</v>
      </c>
      <c r="R43" s="8">
        <f>1002.24+1560</f>
        <v>2562.2399999999998</v>
      </c>
      <c r="S43" s="5"/>
      <c r="T43" s="8">
        <v>474.9</v>
      </c>
      <c r="AD43" s="8">
        <v>406.75</v>
      </c>
      <c r="AE43" s="5"/>
      <c r="AF43" s="8"/>
      <c r="AG43" s="8">
        <v>1152</v>
      </c>
      <c r="AH43" s="8"/>
      <c r="AI43" s="8"/>
      <c r="AJ43" s="4"/>
      <c r="AK43" s="4"/>
      <c r="AL43" s="4"/>
    </row>
    <row r="44" spans="1:40" s="1" customFormat="1" x14ac:dyDescent="0.4">
      <c r="A44" s="9" t="str">
        <f t="shared" si="6"/>
        <v>Cliente 14</v>
      </c>
      <c r="B44" s="10"/>
      <c r="C44" s="10"/>
      <c r="D44" s="10"/>
      <c r="E44" s="10"/>
      <c r="F44" s="10"/>
      <c r="G44" s="10"/>
      <c r="H44" s="11"/>
      <c r="I44" s="11"/>
      <c r="J44" s="24"/>
      <c r="K44" s="24"/>
      <c r="L44" s="26">
        <f>+$J$16/3</f>
        <v>5610</v>
      </c>
      <c r="M44" s="8">
        <f>+$J$16/3</f>
        <v>5610</v>
      </c>
      <c r="N44" s="8">
        <f>+$J$16/3</f>
        <v>5610</v>
      </c>
      <c r="O44" s="8">
        <v>3780</v>
      </c>
      <c r="P44" s="8">
        <f>4650+4185+9300</f>
        <v>18135</v>
      </c>
      <c r="Q44" s="8">
        <f>4650+4185</f>
        <v>8835</v>
      </c>
      <c r="R44" s="5"/>
      <c r="S44" s="8"/>
      <c r="T44" s="8">
        <v>1235</v>
      </c>
      <c r="U44" s="4"/>
      <c r="V44" s="4">
        <v>3330</v>
      </c>
      <c r="W44" s="4"/>
      <c r="X44" s="4"/>
      <c r="Y44" s="4">
        <v>225</v>
      </c>
      <c r="Z44" s="4"/>
      <c r="AA44" s="4"/>
      <c r="AD44" s="5"/>
      <c r="AE44" s="8">
        <v>2000</v>
      </c>
      <c r="AF44" s="8">
        <v>6320</v>
      </c>
      <c r="AG44" s="8">
        <v>6320</v>
      </c>
      <c r="AH44" s="8"/>
      <c r="AI44" s="8"/>
      <c r="AJ44" s="4"/>
      <c r="AK44" s="4"/>
      <c r="AL44" s="4"/>
    </row>
    <row r="45" spans="1:40" s="1" customFormat="1" x14ac:dyDescent="0.4">
      <c r="A45" s="9" t="str">
        <f t="shared" si="6"/>
        <v>Cliente 15</v>
      </c>
      <c r="B45" s="10"/>
      <c r="C45" s="10"/>
      <c r="D45" s="10"/>
      <c r="E45" s="10"/>
      <c r="F45" s="10"/>
      <c r="G45" s="10"/>
      <c r="H45" s="11"/>
      <c r="I45" s="11"/>
      <c r="J45" s="24"/>
      <c r="K45" s="26"/>
      <c r="L45" s="26"/>
      <c r="M45" s="26"/>
      <c r="N45" s="8">
        <v>8000</v>
      </c>
      <c r="O45" s="8">
        <f>991.2+8000</f>
        <v>8991.2000000000007</v>
      </c>
      <c r="P45" s="8">
        <v>8000</v>
      </c>
      <c r="Q45" s="8"/>
      <c r="R45" s="5"/>
      <c r="S45" s="5"/>
      <c r="T45" s="5"/>
      <c r="AD45" s="5"/>
      <c r="AE45" s="5"/>
      <c r="AF45" s="5"/>
      <c r="AG45" s="8"/>
      <c r="AH45" s="8"/>
      <c r="AI45" s="8"/>
      <c r="AJ45" s="4"/>
      <c r="AK45" s="4">
        <f>+$AI$17/2</f>
        <v>18420</v>
      </c>
      <c r="AL45" s="4">
        <f>+$AI$17/2+$AJ$17/2</f>
        <v>36840</v>
      </c>
      <c r="AM45" s="4">
        <f>+$AJ$17/2</f>
        <v>18420</v>
      </c>
    </row>
    <row r="46" spans="1:40" s="1" customFormat="1" x14ac:dyDescent="0.4">
      <c r="A46" s="9" t="str">
        <f t="shared" si="6"/>
        <v>Cliente 16</v>
      </c>
      <c r="B46" s="10"/>
      <c r="C46" s="10"/>
      <c r="D46" s="10"/>
      <c r="E46" s="10"/>
      <c r="F46" s="10"/>
      <c r="G46" s="10"/>
      <c r="H46" s="11"/>
      <c r="I46" s="11"/>
      <c r="J46" s="34">
        <v>36.25</v>
      </c>
      <c r="K46" s="8">
        <f>-16.94-3.61-9.72</f>
        <v>-30.270000000000003</v>
      </c>
      <c r="L46" s="8">
        <v>-18.05</v>
      </c>
      <c r="M46" s="8">
        <v>-14.44</v>
      </c>
      <c r="N46" s="8">
        <f>-N45-N44-N38-N34+7993.89+22796.39+10222.78</f>
        <v>-13.329999999999927</v>
      </c>
      <c r="O46" s="8">
        <f>-41.1+9.72</f>
        <v>-31.380000000000003</v>
      </c>
      <c r="P46" s="8">
        <v>-48.32</v>
      </c>
      <c r="Q46" s="8">
        <v>-27.77</v>
      </c>
      <c r="R46" s="8">
        <v>-22.85</v>
      </c>
      <c r="S46" s="8">
        <v>-17.850000000000001</v>
      </c>
      <c r="T46" s="8">
        <v>-5.51</v>
      </c>
      <c r="V46" s="4">
        <v>-24.27</v>
      </c>
      <c r="W46" s="4"/>
      <c r="Z46" s="4"/>
      <c r="AA46" s="4"/>
      <c r="AC46" s="4"/>
      <c r="AD46" s="5"/>
      <c r="AE46" s="8">
        <f>+X18</f>
        <v>39600</v>
      </c>
      <c r="AF46" s="5"/>
      <c r="AG46" s="8"/>
      <c r="AH46" s="8"/>
      <c r="AI46" s="8"/>
      <c r="AJ46" s="4"/>
      <c r="AK46" s="4"/>
      <c r="AL46" s="4"/>
    </row>
    <row r="47" spans="1:40" s="1" customFormat="1" x14ac:dyDescent="0.4">
      <c r="A47" s="9" t="str">
        <f t="shared" si="6"/>
        <v>Cliente 17</v>
      </c>
      <c r="B47" s="10"/>
      <c r="C47" s="10"/>
      <c r="D47" s="10"/>
      <c r="E47" s="10"/>
      <c r="F47" s="10"/>
      <c r="G47" s="10"/>
      <c r="H47" s="11"/>
      <c r="I47" s="11"/>
      <c r="J47" s="34"/>
      <c r="K47" s="8"/>
      <c r="L47" s="8"/>
      <c r="M47" s="8"/>
      <c r="N47" s="8"/>
      <c r="O47" s="8"/>
      <c r="P47" s="8"/>
      <c r="Q47" s="8"/>
      <c r="R47" s="8"/>
      <c r="S47" s="8"/>
      <c r="T47" s="5"/>
      <c r="V47" s="4">
        <v>2052</v>
      </c>
      <c r="W47" s="4"/>
      <c r="Y47" s="4"/>
      <c r="AD47" s="5"/>
      <c r="AE47" s="5"/>
      <c r="AF47" s="5"/>
      <c r="AG47" s="8"/>
      <c r="AH47" s="8"/>
      <c r="AI47" s="8"/>
      <c r="AJ47" s="4"/>
      <c r="AK47" s="4"/>
      <c r="AL47" s="4"/>
    </row>
    <row r="48" spans="1:40" s="1" customFormat="1" x14ac:dyDescent="0.4">
      <c r="A48" s="9" t="str">
        <f t="shared" si="6"/>
        <v>Cliente 18</v>
      </c>
      <c r="B48" s="10"/>
      <c r="C48" s="10"/>
      <c r="D48" s="10"/>
      <c r="E48" s="10"/>
      <c r="F48" s="10"/>
      <c r="G48" s="10"/>
      <c r="H48" s="11"/>
      <c r="I48" s="11"/>
      <c r="J48" s="34"/>
      <c r="K48" s="8"/>
      <c r="L48" s="8"/>
      <c r="M48" s="8"/>
      <c r="N48" s="8"/>
      <c r="O48" s="8"/>
      <c r="P48" s="8"/>
      <c r="Q48" s="8"/>
      <c r="R48" s="8"/>
      <c r="S48" s="8"/>
      <c r="T48" s="5"/>
      <c r="V48" s="4"/>
      <c r="W48" s="4"/>
      <c r="Y48" s="4">
        <v>2220</v>
      </c>
      <c r="Z48" s="4"/>
      <c r="AA48" s="4"/>
      <c r="AB48" s="4"/>
      <c r="AC48" s="4"/>
      <c r="AD48" s="8"/>
      <c r="AE48" s="8"/>
      <c r="AF48" s="8"/>
      <c r="AG48" s="8"/>
      <c r="AH48" s="8"/>
      <c r="AI48" s="8"/>
      <c r="AJ48" s="8">
        <f>7999.2/2</f>
        <v>3999.6</v>
      </c>
      <c r="AK48" s="8">
        <f>7999.2/2+3720</f>
        <v>7719.6</v>
      </c>
      <c r="AL48" s="4"/>
    </row>
    <row r="49" spans="1:45" s="1" customFormat="1" x14ac:dyDescent="0.4">
      <c r="A49" s="9" t="str">
        <f t="shared" si="6"/>
        <v>Cliente 19</v>
      </c>
      <c r="B49" s="10"/>
      <c r="C49" s="10"/>
      <c r="D49" s="10"/>
      <c r="E49" s="10"/>
      <c r="F49" s="10"/>
      <c r="G49" s="10"/>
      <c r="H49" s="11"/>
      <c r="I49" s="11"/>
      <c r="J49" s="34"/>
      <c r="K49" s="8"/>
      <c r="L49" s="8"/>
      <c r="M49" s="8"/>
      <c r="N49" s="8"/>
      <c r="O49" s="8"/>
      <c r="P49" s="8"/>
      <c r="Q49" s="8"/>
      <c r="R49" s="8"/>
      <c r="S49" s="8"/>
      <c r="T49" s="5"/>
      <c r="V49" s="4"/>
      <c r="W49" s="4"/>
      <c r="Y49" s="4">
        <v>16321.15</v>
      </c>
      <c r="AE49" s="5"/>
      <c r="AF49" s="5"/>
      <c r="AG49" s="8"/>
      <c r="AH49" s="8"/>
      <c r="AI49" s="8"/>
      <c r="AJ49" s="4"/>
      <c r="AK49" s="4"/>
      <c r="AL49" s="4"/>
    </row>
    <row r="50" spans="1:45" s="4" customFormat="1" x14ac:dyDescent="0.4">
      <c r="A50" s="9" t="str">
        <f t="shared" si="6"/>
        <v>Cliente 20</v>
      </c>
      <c r="B50" s="10"/>
      <c r="C50" s="10"/>
      <c r="D50" s="10"/>
      <c r="E50" s="10"/>
      <c r="F50" s="10"/>
      <c r="G50" s="10"/>
      <c r="H50" s="25"/>
      <c r="I50" s="25"/>
      <c r="J50" s="34"/>
      <c r="K50" s="8"/>
      <c r="L50" s="8"/>
      <c r="M50" s="8"/>
      <c r="N50" s="8"/>
      <c r="O50" s="8"/>
      <c r="P50" s="8"/>
      <c r="Q50" s="8"/>
      <c r="R50" s="8"/>
      <c r="S50" s="8"/>
      <c r="T50" s="8"/>
      <c r="AE50" s="8">
        <v>0</v>
      </c>
      <c r="AF50" s="8">
        <f>+$AC$22/2</f>
        <v>0</v>
      </c>
      <c r="AG50" s="8">
        <f>+$AC$22/2</f>
        <v>0</v>
      </c>
      <c r="AH50" s="8">
        <v>15000</v>
      </c>
      <c r="AI50" s="8">
        <v>15000</v>
      </c>
      <c r="AJ50" s="4">
        <v>15000</v>
      </c>
      <c r="AL50" s="4">
        <f>+$AJ$22/3</f>
        <v>3450</v>
      </c>
      <c r="AM50" s="4">
        <f>+$AJ$22/3</f>
        <v>3450</v>
      </c>
      <c r="AN50" s="4">
        <f>+$AJ$22/3</f>
        <v>3450</v>
      </c>
    </row>
    <row r="51" spans="1:45" s="1" customFormat="1" x14ac:dyDescent="0.4">
      <c r="A51" s="9" t="str">
        <f t="shared" si="6"/>
        <v>Cliente 21</v>
      </c>
      <c r="B51" s="10"/>
      <c r="C51" s="10"/>
      <c r="D51" s="10"/>
      <c r="E51" s="10"/>
      <c r="F51" s="10"/>
      <c r="G51" s="10"/>
      <c r="H51" s="11"/>
      <c r="I51" s="11"/>
      <c r="J51" s="34">
        <v>43168.99</v>
      </c>
      <c r="K51" s="8">
        <v>-43168.99</v>
      </c>
      <c r="L51" s="8"/>
      <c r="M51" s="8"/>
      <c r="N51" s="8"/>
      <c r="O51" s="8"/>
      <c r="P51" s="8"/>
      <c r="Q51" s="8"/>
      <c r="R51" s="8"/>
      <c r="S51" s="8"/>
      <c r="T51" s="5"/>
      <c r="V51" s="4"/>
      <c r="W51" s="4"/>
      <c r="Y51" s="4">
        <v>-19.260000000000002</v>
      </c>
      <c r="Z51" s="4">
        <v>12.22</v>
      </c>
      <c r="AD51" s="4"/>
      <c r="AE51" s="8"/>
      <c r="AF51" s="8"/>
      <c r="AG51" s="5"/>
      <c r="AH51" s="8"/>
      <c r="AI51" s="8"/>
      <c r="AJ51" s="8"/>
      <c r="AK51" s="8">
        <f>+AH23</f>
        <v>21133.333333333339</v>
      </c>
    </row>
    <row r="52" spans="1:45" s="1" customFormat="1" x14ac:dyDescent="0.4">
      <c r="A52" s="9" t="str">
        <f t="shared" si="6"/>
        <v>Cliente 22</v>
      </c>
      <c r="B52" s="10"/>
      <c r="C52" s="10"/>
      <c r="D52" s="10"/>
      <c r="E52" s="10"/>
      <c r="F52" s="10"/>
      <c r="G52" s="10"/>
      <c r="H52" s="11"/>
      <c r="I52" s="11"/>
      <c r="J52" s="34"/>
      <c r="K52" s="8"/>
      <c r="L52" s="8"/>
      <c r="M52" s="8"/>
      <c r="N52" s="8"/>
      <c r="O52" s="8"/>
      <c r="P52" s="8"/>
      <c r="Q52" s="8"/>
      <c r="R52" s="8"/>
      <c r="S52" s="8"/>
      <c r="T52" s="5"/>
      <c r="V52" s="4"/>
      <c r="W52" s="4"/>
      <c r="Y52" s="4"/>
      <c r="Z52" s="4"/>
      <c r="AD52" s="4"/>
      <c r="AE52" s="8"/>
      <c r="AF52" s="8">
        <v>0</v>
      </c>
      <c r="AG52" s="5"/>
      <c r="AH52" s="5"/>
      <c r="AI52" s="5"/>
      <c r="AK52" s="4">
        <v>5400</v>
      </c>
    </row>
    <row r="53" spans="1:45" s="1" customFormat="1" x14ac:dyDescent="0.4">
      <c r="A53" s="9" t="str">
        <f t="shared" si="6"/>
        <v>Cliente 23</v>
      </c>
      <c r="B53" s="10"/>
      <c r="C53" s="10"/>
      <c r="D53" s="10"/>
      <c r="E53" s="10"/>
      <c r="F53" s="10"/>
      <c r="G53" s="10"/>
      <c r="H53" s="11"/>
      <c r="I53" s="11"/>
      <c r="J53" s="34"/>
      <c r="K53" s="8"/>
      <c r="L53" s="8"/>
      <c r="M53" s="8"/>
      <c r="N53" s="8"/>
      <c r="O53" s="8"/>
      <c r="P53" s="8"/>
      <c r="Q53" s="8"/>
      <c r="R53" s="8"/>
      <c r="S53" s="8"/>
      <c r="T53" s="5"/>
      <c r="V53" s="4"/>
      <c r="W53" s="4"/>
      <c r="Y53" s="4"/>
      <c r="Z53" s="4"/>
      <c r="AD53" s="4"/>
      <c r="AE53" s="8"/>
      <c r="AF53" s="8"/>
      <c r="AG53" s="5"/>
      <c r="AH53" s="8"/>
      <c r="AI53" s="8"/>
    </row>
    <row r="54" spans="1:45" s="18" customFormat="1" x14ac:dyDescent="0.4">
      <c r="A54" s="17" t="s">
        <v>45</v>
      </c>
      <c r="B54" s="1">
        <f t="shared" ref="B54:I54" si="8">SUM(B31:B46)</f>
        <v>26400</v>
      </c>
      <c r="C54" s="1">
        <f t="shared" si="8"/>
        <v>83952.05</v>
      </c>
      <c r="D54" s="1">
        <f t="shared" si="8"/>
        <v>75767.040000000008</v>
      </c>
      <c r="E54" s="1">
        <f t="shared" si="8"/>
        <v>75633.88</v>
      </c>
      <c r="F54" s="1">
        <f t="shared" si="8"/>
        <v>29264.720000000001</v>
      </c>
      <c r="G54" s="1">
        <f t="shared" si="8"/>
        <v>123296.12</v>
      </c>
      <c r="H54" s="1">
        <f t="shared" si="8"/>
        <v>37358.49</v>
      </c>
      <c r="I54" s="1">
        <f t="shared" si="8"/>
        <v>60739.38</v>
      </c>
      <c r="J54" s="5">
        <f>SUM(J31:J51)</f>
        <v>133554.13</v>
      </c>
      <c r="K54" s="5">
        <f>SUM(K31:K51)</f>
        <v>4590.8400000000038</v>
      </c>
      <c r="L54" s="5">
        <f t="shared" ref="L54:U54" si="9">SUM(L31:L47)</f>
        <v>41233.449999999997</v>
      </c>
      <c r="M54" s="5">
        <f t="shared" si="9"/>
        <v>87822.299999999988</v>
      </c>
      <c r="N54" s="5">
        <f t="shared" si="9"/>
        <v>41013.06</v>
      </c>
      <c r="O54" s="5">
        <f t="shared" si="9"/>
        <v>105887.51</v>
      </c>
      <c r="P54" s="5">
        <f t="shared" si="9"/>
        <v>45372.68</v>
      </c>
      <c r="Q54" s="5">
        <f t="shared" si="9"/>
        <v>16426.23</v>
      </c>
      <c r="R54" s="5">
        <f t="shared" si="9"/>
        <v>21768.39</v>
      </c>
      <c r="S54" s="5">
        <f t="shared" si="9"/>
        <v>78549.149999999994</v>
      </c>
      <c r="T54" s="5">
        <f t="shared" si="9"/>
        <v>54025.96</v>
      </c>
      <c r="U54" s="5">
        <f t="shared" si="9"/>
        <v>0</v>
      </c>
      <c r="V54" s="5">
        <f t="shared" ref="V54:AA54" si="10">SUM(V31:V51)</f>
        <v>17711.53</v>
      </c>
      <c r="W54" s="5">
        <f t="shared" si="10"/>
        <v>1116.3900000000001</v>
      </c>
      <c r="X54" s="5">
        <f t="shared" si="10"/>
        <v>60518.94</v>
      </c>
      <c r="Y54" s="5">
        <f t="shared" si="10"/>
        <v>43604.439999999995</v>
      </c>
      <c r="Z54" s="5">
        <f t="shared" si="10"/>
        <v>31822</v>
      </c>
      <c r="AA54" s="5">
        <f t="shared" si="10"/>
        <v>0</v>
      </c>
      <c r="AB54" s="5">
        <f>SUM(AB31:AB52)</f>
        <v>0</v>
      </c>
      <c r="AC54" s="5">
        <f>SUM(AC31:AC52)</f>
        <v>0</v>
      </c>
      <c r="AD54" s="5">
        <f>SUM(AD31:AD52)</f>
        <v>2303.42</v>
      </c>
      <c r="AE54" s="5">
        <f t="shared" ref="AE54:AP54" si="11">SUM(AE31:AE53)</f>
        <v>92408.94</v>
      </c>
      <c r="AF54" s="5">
        <f t="shared" si="11"/>
        <v>61446.84</v>
      </c>
      <c r="AG54" s="5">
        <f t="shared" si="11"/>
        <v>8822</v>
      </c>
      <c r="AH54" s="5">
        <f t="shared" si="11"/>
        <v>82866.509999999995</v>
      </c>
      <c r="AI54" s="5">
        <f t="shared" si="11"/>
        <v>135470.54999999999</v>
      </c>
      <c r="AJ54" s="5">
        <f t="shared" si="11"/>
        <v>58452.4</v>
      </c>
      <c r="AK54" s="5">
        <f t="shared" si="11"/>
        <v>170820.56333333335</v>
      </c>
      <c r="AL54" s="5">
        <f t="shared" si="11"/>
        <v>304353.59999999998</v>
      </c>
      <c r="AM54" s="5">
        <f t="shared" si="11"/>
        <v>86470.3</v>
      </c>
      <c r="AN54" s="5">
        <f t="shared" si="11"/>
        <v>149420</v>
      </c>
      <c r="AO54" s="5">
        <f t="shared" si="11"/>
        <v>0</v>
      </c>
      <c r="AP54" s="5">
        <f t="shared" si="11"/>
        <v>0</v>
      </c>
    </row>
    <row r="55" spans="1:45" s="18" customFormat="1" x14ac:dyDescent="0.4">
      <c r="A55" s="17"/>
      <c r="B55" s="1"/>
      <c r="C55" s="1"/>
      <c r="D55" s="1"/>
      <c r="E55" s="1"/>
      <c r="F55" s="1"/>
      <c r="G55" s="1"/>
      <c r="H55" s="1"/>
      <c r="I55" s="1"/>
      <c r="J55" s="1"/>
    </row>
    <row r="56" spans="1:45" s="18" customFormat="1" x14ac:dyDescent="0.4">
      <c r="A56" s="17"/>
      <c r="B56" s="1"/>
      <c r="C56" s="1"/>
      <c r="D56" s="1"/>
      <c r="E56" s="1"/>
      <c r="F56" s="1"/>
      <c r="G56" s="1"/>
      <c r="H56" s="1"/>
      <c r="I56" s="1"/>
      <c r="J56" s="1"/>
    </row>
    <row r="57" spans="1:45" s="18" customFormat="1" x14ac:dyDescent="0.4">
      <c r="A57" s="17"/>
      <c r="B57" s="1"/>
      <c r="C57" s="1"/>
      <c r="D57" s="1"/>
      <c r="E57" s="1"/>
      <c r="F57" s="1"/>
      <c r="G57" s="1"/>
      <c r="H57" s="1"/>
      <c r="I57" s="1"/>
      <c r="J57" s="1"/>
    </row>
    <row r="58" spans="1:45" s="29" customFormat="1" x14ac:dyDescent="0.4">
      <c r="A58" s="28" t="s">
        <v>105</v>
      </c>
      <c r="C58" s="30" t="s">
        <v>53</v>
      </c>
      <c r="D58" s="30" t="s">
        <v>53</v>
      </c>
      <c r="E58" s="30" t="s">
        <v>53</v>
      </c>
      <c r="F58" s="30" t="s">
        <v>53</v>
      </c>
      <c r="G58" s="30" t="s">
        <v>53</v>
      </c>
      <c r="H58" s="30" t="s">
        <v>53</v>
      </c>
      <c r="I58" s="30" t="s">
        <v>53</v>
      </c>
      <c r="J58" s="30" t="s">
        <v>53</v>
      </c>
      <c r="K58" s="30" t="s">
        <v>53</v>
      </c>
      <c r="L58" s="30" t="s">
        <v>53</v>
      </c>
      <c r="M58" s="30" t="s">
        <v>53</v>
      </c>
      <c r="N58" s="30" t="s">
        <v>53</v>
      </c>
      <c r="O58" s="30" t="s">
        <v>53</v>
      </c>
      <c r="P58" s="30" t="s">
        <v>53</v>
      </c>
      <c r="Q58" s="30" t="s">
        <v>53</v>
      </c>
      <c r="R58" s="30" t="s">
        <v>53</v>
      </c>
      <c r="S58" s="30" t="s">
        <v>53</v>
      </c>
      <c r="T58" s="30" t="s">
        <v>53</v>
      </c>
      <c r="U58" s="30" t="s">
        <v>53</v>
      </c>
      <c r="V58" s="30" t="s">
        <v>53</v>
      </c>
      <c r="W58" s="29" t="str">
        <f t="shared" ref="W58:AS58" si="12">+W29</f>
        <v>Consuntivato</v>
      </c>
      <c r="X58" s="29" t="str">
        <f t="shared" si="12"/>
        <v>Consuntivato</v>
      </c>
      <c r="Y58" s="29" t="str">
        <f t="shared" si="12"/>
        <v>Consuntivato</v>
      </c>
      <c r="Z58" s="46" t="str">
        <f t="shared" si="12"/>
        <v>Consuntivato</v>
      </c>
      <c r="AA58" s="46" t="str">
        <f t="shared" si="12"/>
        <v>Consuntivato</v>
      </c>
      <c r="AB58" s="46" t="str">
        <f t="shared" si="12"/>
        <v>Consuntivato</v>
      </c>
      <c r="AC58" s="46" t="str">
        <f t="shared" si="12"/>
        <v>Consuntivato</v>
      </c>
      <c r="AD58" s="46" t="str">
        <f t="shared" si="12"/>
        <v>Consuntivato</v>
      </c>
      <c r="AE58" s="46" t="str">
        <f t="shared" si="12"/>
        <v>Consuntivato</v>
      </c>
      <c r="AF58" s="46" t="str">
        <f t="shared" si="12"/>
        <v>Consuntivato</v>
      </c>
      <c r="AG58" s="46">
        <f t="shared" si="12"/>
        <v>0</v>
      </c>
      <c r="AH58" s="46">
        <f t="shared" si="12"/>
        <v>0</v>
      </c>
      <c r="AI58" s="46">
        <f t="shared" si="12"/>
        <v>0</v>
      </c>
      <c r="AJ58" s="29">
        <f t="shared" si="12"/>
        <v>0</v>
      </c>
      <c r="AK58" s="29">
        <f t="shared" si="12"/>
        <v>0</v>
      </c>
      <c r="AL58" s="29">
        <f t="shared" si="12"/>
        <v>0</v>
      </c>
      <c r="AM58" s="29">
        <f t="shared" si="12"/>
        <v>0</v>
      </c>
      <c r="AN58" s="29">
        <f t="shared" si="12"/>
        <v>0</v>
      </c>
      <c r="AO58" s="29">
        <f t="shared" si="12"/>
        <v>0</v>
      </c>
      <c r="AP58" s="29">
        <f t="shared" si="12"/>
        <v>0</v>
      </c>
      <c r="AQ58" s="29">
        <f t="shared" si="12"/>
        <v>0</v>
      </c>
      <c r="AR58" s="29">
        <f t="shared" si="12"/>
        <v>0</v>
      </c>
      <c r="AS58" s="29">
        <f t="shared" si="12"/>
        <v>0</v>
      </c>
    </row>
    <row r="59" spans="1:45" s="15" customFormat="1" ht="15" x14ac:dyDescent="0.5">
      <c r="A59" s="16">
        <f t="shared" ref="A59:A82" si="13">+A30</f>
        <v>2019</v>
      </c>
      <c r="B59" s="2">
        <v>4</v>
      </c>
      <c r="C59" s="2">
        <v>5</v>
      </c>
      <c r="D59" s="2">
        <v>6</v>
      </c>
      <c r="E59" s="2">
        <v>7</v>
      </c>
      <c r="F59" s="2">
        <v>8</v>
      </c>
      <c r="G59" s="2">
        <v>9</v>
      </c>
      <c r="H59" s="2">
        <v>10</v>
      </c>
      <c r="I59" s="2">
        <v>11</v>
      </c>
      <c r="J59" s="2">
        <v>12</v>
      </c>
      <c r="K59" s="22">
        <v>1</v>
      </c>
      <c r="L59" s="22">
        <v>2</v>
      </c>
      <c r="M59" s="22">
        <v>3</v>
      </c>
      <c r="N59" s="22">
        <v>4</v>
      </c>
      <c r="O59" s="22">
        <v>5</v>
      </c>
      <c r="P59" s="22">
        <v>6</v>
      </c>
      <c r="Q59" s="22">
        <v>7</v>
      </c>
      <c r="R59" s="22">
        <v>8</v>
      </c>
      <c r="S59" s="22">
        <v>9</v>
      </c>
      <c r="T59" s="22">
        <v>10</v>
      </c>
      <c r="U59" s="22">
        <v>11</v>
      </c>
      <c r="V59" s="22">
        <v>12</v>
      </c>
      <c r="W59" s="22">
        <v>1</v>
      </c>
      <c r="X59" s="22">
        <v>2</v>
      </c>
      <c r="Y59" s="22">
        <v>3</v>
      </c>
      <c r="Z59" s="22">
        <v>4</v>
      </c>
      <c r="AA59" s="22">
        <v>5</v>
      </c>
      <c r="AB59" s="22">
        <v>6</v>
      </c>
      <c r="AC59" s="22">
        <v>7</v>
      </c>
      <c r="AD59" s="22">
        <v>8</v>
      </c>
      <c r="AE59" s="22">
        <v>9</v>
      </c>
      <c r="AF59" s="22">
        <v>10</v>
      </c>
      <c r="AG59" s="22">
        <v>11</v>
      </c>
      <c r="AH59" s="22">
        <v>12</v>
      </c>
      <c r="AI59" s="22">
        <v>1</v>
      </c>
      <c r="AJ59" s="22">
        <v>2</v>
      </c>
      <c r="AK59" s="22">
        <v>3</v>
      </c>
      <c r="AL59" s="22">
        <v>4</v>
      </c>
      <c r="AM59" s="22">
        <v>5</v>
      </c>
      <c r="AN59" s="22">
        <v>6</v>
      </c>
      <c r="AO59" s="22">
        <v>7</v>
      </c>
      <c r="AP59" s="22">
        <v>8</v>
      </c>
    </row>
    <row r="60" spans="1:45" s="4" customFormat="1" x14ac:dyDescent="0.4">
      <c r="A60" s="9" t="str">
        <f t="shared" si="13"/>
        <v>Cliente 1</v>
      </c>
      <c r="C60" s="12"/>
      <c r="D60" s="12"/>
      <c r="E60" s="12"/>
    </row>
    <row r="61" spans="1:45" s="4" customFormat="1" x14ac:dyDescent="0.4">
      <c r="A61" s="9" t="str">
        <f t="shared" si="13"/>
        <v>Cliente 2</v>
      </c>
      <c r="C61" s="12"/>
      <c r="D61" s="12"/>
      <c r="E61" s="12"/>
      <c r="AB61" s="4">
        <f>7166*2</f>
        <v>14332</v>
      </c>
      <c r="AC61" s="4">
        <f>25776*2</f>
        <v>51552</v>
      </c>
    </row>
    <row r="62" spans="1:45" s="4" customFormat="1" x14ac:dyDescent="0.4">
      <c r="A62" s="9" t="str">
        <f t="shared" si="13"/>
        <v>Cliente 3</v>
      </c>
      <c r="C62" s="12"/>
      <c r="D62" s="12"/>
      <c r="E62" s="12"/>
      <c r="I62" s="8">
        <v>30300.240000000002</v>
      </c>
      <c r="J62" s="8"/>
      <c r="K62" s="8"/>
      <c r="O62" s="4">
        <v>31101</v>
      </c>
      <c r="P62" s="4">
        <v>14675</v>
      </c>
      <c r="Q62" s="4">
        <v>29350</v>
      </c>
      <c r="S62" s="4">
        <v>29350</v>
      </c>
      <c r="Y62" s="4">
        <v>13509.33</v>
      </c>
      <c r="Z62" s="4">
        <v>39184.519999999997</v>
      </c>
      <c r="AC62" s="4">
        <v>12910.03</v>
      </c>
    </row>
    <row r="63" spans="1:45" s="1" customFormat="1" x14ac:dyDescent="0.4">
      <c r="A63" s="9" t="str">
        <f t="shared" si="13"/>
        <v>Cliente 4</v>
      </c>
      <c r="B63" s="10"/>
      <c r="C63" s="10">
        <v>1596</v>
      </c>
      <c r="D63" s="13"/>
      <c r="E63" s="13"/>
      <c r="F63" s="10"/>
      <c r="G63" s="10"/>
      <c r="H63" s="11"/>
      <c r="I63" s="24"/>
      <c r="J63" s="24"/>
      <c r="K63" s="24"/>
      <c r="L63" s="11"/>
      <c r="M63" s="11"/>
      <c r="O63" s="4"/>
      <c r="R63" s="4">
        <v>1104</v>
      </c>
      <c r="S63" s="4"/>
      <c r="T63" s="4"/>
      <c r="U63" s="4"/>
      <c r="V63" s="4"/>
      <c r="W63" s="4"/>
      <c r="X63" s="4">
        <f>1300+500</f>
        <v>1800</v>
      </c>
      <c r="Y63" s="4">
        <v>810</v>
      </c>
      <c r="Z63" s="4">
        <v>650</v>
      </c>
      <c r="AA63" s="4">
        <v>1900</v>
      </c>
      <c r="AB63" s="4"/>
      <c r="AC63" s="4">
        <v>1404</v>
      </c>
      <c r="AD63" s="4"/>
      <c r="AE63" s="4"/>
      <c r="AF63" s="4"/>
      <c r="AG63" s="4"/>
      <c r="AH63" s="4"/>
    </row>
    <row r="64" spans="1:45" s="1" customFormat="1" x14ac:dyDescent="0.4">
      <c r="A64" s="9" t="str">
        <f t="shared" si="13"/>
        <v>Cliente 5</v>
      </c>
      <c r="B64" s="10"/>
      <c r="C64" s="13"/>
      <c r="D64" s="13"/>
      <c r="E64" s="13"/>
      <c r="F64" s="10"/>
      <c r="G64" s="10"/>
      <c r="H64" s="11"/>
      <c r="I64" s="24"/>
      <c r="J64" s="24"/>
      <c r="K64" s="24"/>
      <c r="L64" s="11"/>
      <c r="M64" s="11"/>
      <c r="O64" s="4"/>
      <c r="P64" s="4">
        <v>6328.8</v>
      </c>
      <c r="S64" s="4"/>
      <c r="T64" s="4"/>
      <c r="U64" s="4"/>
      <c r="V64" s="4"/>
      <c r="W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s="1" customFormat="1" x14ac:dyDescent="0.4">
      <c r="A65" s="9" t="str">
        <f t="shared" si="13"/>
        <v>Cliente 6</v>
      </c>
      <c r="B65" s="10"/>
      <c r="C65" s="14"/>
      <c r="D65" s="14"/>
      <c r="E65" s="13"/>
      <c r="F65" s="10"/>
      <c r="G65" s="10"/>
      <c r="H65" s="11"/>
      <c r="I65" s="24"/>
      <c r="J65" s="24"/>
      <c r="K65" s="24"/>
      <c r="L65" s="11"/>
      <c r="M65" s="11"/>
      <c r="O65" s="4"/>
      <c r="P65" s="4">
        <v>3664.8</v>
      </c>
      <c r="S65" s="4"/>
      <c r="T65" s="4"/>
      <c r="U65" s="4"/>
      <c r="V65" s="4"/>
      <c r="W65" s="4"/>
      <c r="AA65" s="4"/>
      <c r="AB65" s="4"/>
      <c r="AC65" s="4"/>
      <c r="AD65" s="4"/>
      <c r="AE65" s="4"/>
      <c r="AF65" s="4"/>
      <c r="AG65" s="4"/>
      <c r="AH65" s="4"/>
    </row>
    <row r="66" spans="1:34" s="1" customFormat="1" x14ac:dyDescent="0.4">
      <c r="A66" s="9" t="str">
        <f t="shared" si="13"/>
        <v>Cliente 7</v>
      </c>
      <c r="B66" s="10"/>
      <c r="C66" s="10">
        <f>10250+4370</f>
        <v>14620</v>
      </c>
      <c r="D66" s="13"/>
      <c r="E66" s="13"/>
      <c r="F66" s="10"/>
      <c r="G66" s="10"/>
      <c r="H66" s="11"/>
      <c r="I66" s="26">
        <v>1420</v>
      </c>
      <c r="J66" s="24"/>
      <c r="K66" s="24"/>
      <c r="L66" s="11"/>
      <c r="M66" s="11"/>
      <c r="O66" s="4">
        <v>570</v>
      </c>
      <c r="P66" s="8">
        <v>2910</v>
      </c>
      <c r="R66" s="4">
        <v>1815</v>
      </c>
      <c r="S66" s="4"/>
      <c r="T66" s="4"/>
      <c r="U66" s="4">
        <v>3810</v>
      </c>
      <c r="V66" s="4"/>
      <c r="W66" s="4"/>
      <c r="X66" s="4">
        <f>600+1200</f>
        <v>1800</v>
      </c>
      <c r="Y66" s="4">
        <v>600</v>
      </c>
      <c r="AA66" s="4">
        <v>14800</v>
      </c>
      <c r="AB66" s="4"/>
      <c r="AC66" s="4">
        <v>10200</v>
      </c>
      <c r="AD66" s="4"/>
      <c r="AE66" s="4"/>
      <c r="AF66" s="4">
        <v>2400</v>
      </c>
      <c r="AG66" s="4"/>
      <c r="AH66" s="4"/>
    </row>
    <row r="67" spans="1:34" s="1" customFormat="1" x14ac:dyDescent="0.4">
      <c r="A67" s="9" t="str">
        <f t="shared" si="13"/>
        <v>Cliente 8</v>
      </c>
      <c r="B67" s="10"/>
      <c r="C67" s="13"/>
      <c r="D67" s="13"/>
      <c r="E67" s="13"/>
      <c r="F67" s="10"/>
      <c r="G67" s="10"/>
      <c r="H67" s="11"/>
      <c r="I67" s="24"/>
      <c r="J67" s="26">
        <f>(310)*38*1.2+(6000*1.2)</f>
        <v>21336</v>
      </c>
      <c r="K67" s="24"/>
      <c r="L67" s="26">
        <v>24168</v>
      </c>
      <c r="M67" s="11"/>
      <c r="O67" s="4"/>
      <c r="S67" s="4"/>
      <c r="T67" s="4"/>
      <c r="U67" s="4"/>
      <c r="V67" s="4"/>
      <c r="W67" s="4"/>
      <c r="AA67" s="4"/>
      <c r="AB67" s="4"/>
      <c r="AC67" s="4"/>
      <c r="AD67" s="4"/>
      <c r="AE67" s="4"/>
      <c r="AF67" s="4"/>
      <c r="AG67" s="4"/>
      <c r="AH67" s="4"/>
    </row>
    <row r="68" spans="1:34" s="1" customFormat="1" x14ac:dyDescent="0.4">
      <c r="A68" s="9" t="str">
        <f t="shared" si="13"/>
        <v>Cliente 9</v>
      </c>
      <c r="B68" s="10"/>
      <c r="C68" s="10">
        <f>(36669-7747)*1.2</f>
        <v>34706.400000000001</v>
      </c>
      <c r="D68" s="12"/>
      <c r="E68" s="12"/>
      <c r="F68" s="13"/>
      <c r="G68" s="10"/>
      <c r="H68" s="10"/>
      <c r="I68" s="8">
        <f>23952</f>
        <v>23952</v>
      </c>
      <c r="J68" s="24"/>
      <c r="K68" s="24"/>
      <c r="L68" s="26"/>
      <c r="M68" s="11"/>
      <c r="O68" s="4"/>
      <c r="S68" s="4"/>
      <c r="T68" s="4"/>
      <c r="U68" s="4"/>
      <c r="V68" s="4"/>
      <c r="W68" s="4"/>
      <c r="AA68" s="4"/>
      <c r="AB68" s="4"/>
      <c r="AC68" s="4"/>
      <c r="AD68" s="4"/>
      <c r="AE68" s="4"/>
      <c r="AF68" s="4"/>
      <c r="AG68" s="4"/>
      <c r="AH68" s="4"/>
    </row>
    <row r="69" spans="1:34" s="1" customFormat="1" x14ac:dyDescent="0.4">
      <c r="A69" s="9" t="str">
        <f t="shared" si="13"/>
        <v>Cliente 10</v>
      </c>
      <c r="B69" s="9"/>
      <c r="C69" s="10">
        <v>32895.199999999997</v>
      </c>
      <c r="D69" s="12"/>
      <c r="E69" s="14"/>
      <c r="F69" s="10">
        <f>28482+21855</f>
        <v>50337</v>
      </c>
      <c r="G69" s="10"/>
      <c r="H69" s="10"/>
      <c r="I69" s="8">
        <v>6815</v>
      </c>
      <c r="J69" s="26">
        <v>53755.57</v>
      </c>
      <c r="K69" s="24"/>
      <c r="L69" s="26">
        <v>1813.5</v>
      </c>
      <c r="M69" s="11"/>
      <c r="O69" s="4">
        <v>29207.439999999999</v>
      </c>
      <c r="P69" s="8">
        <v>12545.79</v>
      </c>
      <c r="R69" s="4">
        <v>1380</v>
      </c>
      <c r="S69" s="4">
        <v>775</v>
      </c>
      <c r="T69" s="4"/>
      <c r="U69" s="4">
        <v>6406</v>
      </c>
      <c r="V69" s="4"/>
      <c r="W69" s="4"/>
      <c r="X69" s="8">
        <f>494+9516.92</f>
        <v>10010.92</v>
      </c>
      <c r="Y69" s="4">
        <f>1028.58+(4663.25*3)</f>
        <v>15018.33</v>
      </c>
      <c r="Z69" s="4">
        <v>17844.46</v>
      </c>
      <c r="AA69" s="4">
        <f>4658*3+1730+13074.78</f>
        <v>28778.78</v>
      </c>
      <c r="AB69" s="4">
        <v>28750</v>
      </c>
      <c r="AC69" s="4">
        <f>40459.9+16220.86</f>
        <v>56680.76</v>
      </c>
      <c r="AD69" s="4"/>
      <c r="AE69" s="4">
        <f>90146.98+25626.23</f>
        <v>115773.20999999999</v>
      </c>
      <c r="AF69" s="4">
        <v>480</v>
      </c>
      <c r="AG69" s="4"/>
      <c r="AH69" s="4"/>
    </row>
    <row r="70" spans="1:34" s="1" customFormat="1" x14ac:dyDescent="0.4">
      <c r="A70" s="9" t="str">
        <f t="shared" si="13"/>
        <v>Cliente 11</v>
      </c>
      <c r="B70" s="9"/>
      <c r="C70" s="10"/>
      <c r="D70" s="13"/>
      <c r="E70" s="13"/>
      <c r="F70" s="10"/>
      <c r="G70" s="10"/>
      <c r="H70" s="11"/>
      <c r="I70" s="24"/>
      <c r="J70" s="24"/>
      <c r="K70" s="24"/>
      <c r="L70" s="26"/>
      <c r="M70" s="11"/>
      <c r="O70" s="4"/>
      <c r="S70" s="4"/>
      <c r="T70" s="4"/>
      <c r="U70" s="4"/>
      <c r="V70" s="4"/>
      <c r="W70" s="4"/>
      <c r="AA70" s="4"/>
      <c r="AB70" s="4"/>
      <c r="AC70" s="4"/>
      <c r="AD70" s="4"/>
      <c r="AE70" s="4"/>
      <c r="AF70" s="4"/>
      <c r="AG70" s="4"/>
      <c r="AH70" s="4"/>
    </row>
    <row r="71" spans="1:34" s="1" customFormat="1" x14ac:dyDescent="0.4">
      <c r="A71" s="9" t="str">
        <f t="shared" si="13"/>
        <v>Cliente 12</v>
      </c>
      <c r="B71" s="9"/>
      <c r="C71" s="10"/>
      <c r="D71" s="13"/>
      <c r="E71" s="10"/>
      <c r="F71" s="10"/>
      <c r="G71" s="10"/>
      <c r="H71" s="11"/>
      <c r="I71" s="24"/>
      <c r="J71" s="24"/>
      <c r="K71" s="24"/>
      <c r="L71" s="26">
        <v>47814.2</v>
      </c>
      <c r="M71" s="11"/>
      <c r="O71" s="4">
        <v>1140</v>
      </c>
      <c r="P71" s="4">
        <v>780</v>
      </c>
      <c r="R71" s="4">
        <v>46178</v>
      </c>
      <c r="S71" s="4"/>
      <c r="T71" s="4"/>
      <c r="U71" s="4"/>
      <c r="V71" s="4"/>
      <c r="W71" s="8">
        <v>17000</v>
      </c>
      <c r="AA71" s="4"/>
      <c r="AB71" s="4"/>
      <c r="AC71" s="4">
        <v>400</v>
      </c>
      <c r="AD71" s="4"/>
      <c r="AE71" s="4"/>
      <c r="AF71" s="4"/>
      <c r="AG71" s="4"/>
      <c r="AH71" s="4"/>
    </row>
    <row r="72" spans="1:34" s="1" customFormat="1" x14ac:dyDescent="0.4">
      <c r="A72" s="9" t="str">
        <f t="shared" si="13"/>
        <v>Cliente 13</v>
      </c>
      <c r="B72" s="9"/>
      <c r="C72" s="10"/>
      <c r="D72" s="13"/>
      <c r="E72" s="10"/>
      <c r="F72" s="10"/>
      <c r="G72" s="10"/>
      <c r="H72" s="11"/>
      <c r="I72" s="24"/>
      <c r="J72" s="24"/>
      <c r="K72" s="24"/>
      <c r="L72" s="11"/>
      <c r="M72" s="11"/>
      <c r="O72" s="4"/>
      <c r="S72" s="4"/>
      <c r="T72" s="4"/>
      <c r="U72" s="4"/>
      <c r="V72" s="4"/>
      <c r="W72" s="4"/>
      <c r="X72" s="4">
        <v>409.87</v>
      </c>
      <c r="AA72" s="4"/>
      <c r="AB72" s="4"/>
      <c r="AC72" s="4"/>
      <c r="AD72" s="4"/>
      <c r="AE72" s="4"/>
      <c r="AF72" s="4">
        <v>408.62</v>
      </c>
      <c r="AG72" s="4"/>
      <c r="AH72" s="4"/>
    </row>
    <row r="73" spans="1:34" s="1" customFormat="1" x14ac:dyDescent="0.4">
      <c r="A73" s="9" t="str">
        <f t="shared" si="13"/>
        <v>Cliente 14</v>
      </c>
      <c r="B73" s="9"/>
      <c r="C73" s="10"/>
      <c r="D73" s="13"/>
      <c r="E73" s="10"/>
      <c r="F73" s="10"/>
      <c r="G73" s="10"/>
      <c r="H73" s="11"/>
      <c r="I73" s="26">
        <f>10540*3</f>
        <v>31620</v>
      </c>
      <c r="J73" s="24"/>
      <c r="K73" s="24"/>
      <c r="L73" s="11"/>
      <c r="M73" s="11"/>
      <c r="Q73" s="4">
        <v>10330</v>
      </c>
      <c r="S73" s="4"/>
      <c r="T73" s="4"/>
      <c r="U73" s="4"/>
      <c r="V73" s="4"/>
      <c r="W73" s="4"/>
      <c r="AA73" s="4"/>
      <c r="AB73" s="4"/>
      <c r="AC73" s="4"/>
      <c r="AD73" s="4"/>
      <c r="AE73" s="4"/>
      <c r="AF73" s="4"/>
      <c r="AG73" s="4"/>
      <c r="AH73" s="4"/>
    </row>
    <row r="74" spans="1:34" s="1" customFormat="1" x14ac:dyDescent="0.4">
      <c r="A74" s="9" t="str">
        <f t="shared" si="13"/>
        <v>Cliente 15</v>
      </c>
      <c r="B74" s="9"/>
      <c r="C74" s="10"/>
      <c r="D74" s="13"/>
      <c r="E74" s="10"/>
      <c r="F74" s="10"/>
      <c r="G74" s="10"/>
      <c r="H74" s="11"/>
      <c r="I74" s="24"/>
      <c r="J74" s="26">
        <v>20400</v>
      </c>
      <c r="K74" s="24"/>
      <c r="L74" s="11"/>
      <c r="M74" s="11"/>
      <c r="S74" s="4"/>
      <c r="T74" s="4"/>
      <c r="U74" s="4"/>
      <c r="V74" s="4"/>
      <c r="W74" s="4"/>
      <c r="AA74" s="4"/>
      <c r="AB74" s="4"/>
      <c r="AC74" s="4"/>
      <c r="AD74" s="4"/>
      <c r="AE74" s="4"/>
      <c r="AF74" s="4"/>
      <c r="AG74" s="4"/>
      <c r="AH74" s="4"/>
    </row>
    <row r="75" spans="1:34" s="1" customFormat="1" x14ac:dyDescent="0.4">
      <c r="A75" s="9" t="str">
        <f t="shared" si="13"/>
        <v>Cliente 16</v>
      </c>
      <c r="B75" s="9"/>
      <c r="C75" s="10"/>
      <c r="D75" s="13"/>
      <c r="E75" s="10"/>
      <c r="F75" s="10"/>
      <c r="G75" s="10"/>
      <c r="H75" s="11"/>
      <c r="I75" s="11"/>
      <c r="J75" s="11"/>
      <c r="K75" s="11"/>
      <c r="L75" s="11"/>
      <c r="M75" s="11"/>
      <c r="O75" s="4">
        <v>1440</v>
      </c>
      <c r="S75" s="4"/>
      <c r="T75" s="4"/>
      <c r="U75" s="4"/>
      <c r="V75" s="4"/>
      <c r="W75" s="4"/>
      <c r="AA75" s="4"/>
      <c r="AB75" s="4"/>
      <c r="AC75" s="4"/>
      <c r="AD75" s="4"/>
      <c r="AE75" s="4"/>
      <c r="AF75" s="4"/>
      <c r="AG75" s="4"/>
      <c r="AH75" s="4"/>
    </row>
    <row r="76" spans="1:34" s="1" customFormat="1" x14ac:dyDescent="0.4">
      <c r="A76" s="9" t="str">
        <f t="shared" si="13"/>
        <v>Cliente 17</v>
      </c>
      <c r="B76" s="9"/>
      <c r="C76" s="10"/>
      <c r="D76" s="13"/>
      <c r="E76" s="10"/>
      <c r="F76" s="10"/>
      <c r="G76" s="10"/>
      <c r="H76" s="11"/>
      <c r="I76" s="11"/>
      <c r="J76" s="11"/>
      <c r="K76" s="11"/>
      <c r="L76" s="11"/>
      <c r="M76" s="11"/>
      <c r="O76" s="4"/>
      <c r="S76" s="4"/>
      <c r="T76" s="4"/>
      <c r="U76" s="4"/>
      <c r="V76" s="4"/>
      <c r="W76" s="4"/>
      <c r="AA76" s="4"/>
      <c r="AB76" s="4"/>
      <c r="AC76" s="4">
        <v>1872</v>
      </c>
      <c r="AD76" s="4"/>
      <c r="AE76" s="4"/>
      <c r="AF76" s="4"/>
      <c r="AG76" s="4"/>
      <c r="AH76" s="4"/>
    </row>
    <row r="77" spans="1:34" s="1" customFormat="1" x14ac:dyDescent="0.4">
      <c r="A77" s="9" t="str">
        <f t="shared" si="13"/>
        <v>Cliente 18</v>
      </c>
      <c r="B77" s="9"/>
      <c r="C77" s="10"/>
      <c r="D77" s="13"/>
      <c r="E77" s="10"/>
      <c r="F77" s="10"/>
      <c r="G77" s="10"/>
      <c r="H77" s="11"/>
      <c r="I77" s="11"/>
      <c r="J77" s="11"/>
      <c r="K77" s="11"/>
      <c r="L77" s="11"/>
      <c r="M77" s="11"/>
      <c r="O77" s="4"/>
      <c r="S77" s="4"/>
      <c r="T77" s="4"/>
      <c r="U77" s="4"/>
      <c r="V77" s="4"/>
      <c r="W77" s="4"/>
      <c r="AA77" s="4">
        <v>9600</v>
      </c>
      <c r="AB77" s="4"/>
      <c r="AC77" s="4"/>
      <c r="AD77" s="4"/>
      <c r="AE77" s="4"/>
      <c r="AF77" s="4"/>
      <c r="AG77" s="4"/>
      <c r="AH77" s="4"/>
    </row>
    <row r="78" spans="1:34" s="1" customFormat="1" x14ac:dyDescent="0.4">
      <c r="A78" s="9" t="str">
        <f t="shared" si="13"/>
        <v>Cliente 19</v>
      </c>
      <c r="B78" s="9"/>
      <c r="C78" s="10"/>
      <c r="D78" s="13"/>
      <c r="E78" s="10"/>
      <c r="F78" s="10"/>
      <c r="G78" s="10"/>
      <c r="H78" s="11"/>
      <c r="I78" s="11"/>
      <c r="J78" s="11"/>
      <c r="K78" s="11"/>
      <c r="L78" s="11"/>
      <c r="M78" s="11"/>
      <c r="O78" s="4"/>
      <c r="S78" s="4"/>
      <c r="T78" s="4"/>
      <c r="U78" s="4"/>
      <c r="V78" s="4"/>
      <c r="W78" s="4"/>
      <c r="AA78" s="4"/>
      <c r="AB78" s="4"/>
      <c r="AC78" s="4"/>
      <c r="AD78" s="4"/>
      <c r="AE78" s="4"/>
      <c r="AF78" s="4"/>
      <c r="AG78" s="4"/>
      <c r="AH78" s="4"/>
    </row>
    <row r="79" spans="1:34" s="1" customFormat="1" x14ac:dyDescent="0.4">
      <c r="A79" s="9" t="str">
        <f t="shared" si="13"/>
        <v>Cliente 20</v>
      </c>
      <c r="B79" s="9"/>
      <c r="C79" s="10"/>
      <c r="D79" s="13"/>
      <c r="E79" s="10"/>
      <c r="F79" s="10"/>
      <c r="G79" s="10"/>
      <c r="H79" s="11"/>
      <c r="I79" s="11"/>
      <c r="J79" s="11"/>
      <c r="K79" s="11"/>
      <c r="L79" s="11"/>
      <c r="M79" s="11"/>
      <c r="O79" s="4"/>
      <c r="S79" s="4"/>
      <c r="T79" s="4"/>
      <c r="U79" s="4"/>
      <c r="V79" s="4"/>
      <c r="W79" s="4"/>
      <c r="AC79" s="4">
        <f>21380.4*3</f>
        <v>64141.200000000004</v>
      </c>
      <c r="AF79" s="4">
        <f>14944.5*3</f>
        <v>44833.5</v>
      </c>
    </row>
    <row r="80" spans="1:34" s="1" customFormat="1" x14ac:dyDescent="0.4">
      <c r="A80" s="9" t="str">
        <f t="shared" si="13"/>
        <v>Cliente 21</v>
      </c>
      <c r="B80" s="9"/>
      <c r="C80" s="10"/>
      <c r="D80" s="13"/>
      <c r="E80" s="10"/>
      <c r="F80" s="10"/>
      <c r="G80" s="10"/>
      <c r="H80" s="11"/>
      <c r="I80" s="11"/>
      <c r="J80" s="11">
        <v>-41287.67</v>
      </c>
      <c r="K80" s="11">
        <v>41287.67</v>
      </c>
      <c r="L80" s="11"/>
      <c r="M80" s="11"/>
      <c r="O80" s="4"/>
      <c r="S80" s="4"/>
      <c r="T80" s="4"/>
      <c r="U80" s="4"/>
      <c r="V80" s="4"/>
      <c r="W80" s="4"/>
    </row>
    <row r="81" spans="1:43" s="1" customFormat="1" x14ac:dyDescent="0.4">
      <c r="A81" s="9" t="str">
        <f t="shared" si="13"/>
        <v>Cliente 22</v>
      </c>
      <c r="B81" s="9"/>
      <c r="C81" s="10"/>
      <c r="D81" s="13"/>
      <c r="E81" s="10"/>
      <c r="F81" s="10"/>
      <c r="G81" s="10"/>
      <c r="H81" s="11"/>
      <c r="I81" s="11"/>
      <c r="J81" s="11"/>
      <c r="K81" s="11"/>
      <c r="L81" s="11"/>
      <c r="M81" s="11"/>
      <c r="O81" s="4"/>
      <c r="S81" s="4"/>
      <c r="T81" s="4"/>
      <c r="U81" s="4"/>
      <c r="V81" s="4"/>
      <c r="W81" s="4"/>
      <c r="AC81" s="4">
        <v>1710.72</v>
      </c>
    </row>
    <row r="82" spans="1:43" s="1" customFormat="1" x14ac:dyDescent="0.4">
      <c r="A82" s="9" t="str">
        <f t="shared" si="13"/>
        <v>Cliente 23</v>
      </c>
      <c r="B82" s="9"/>
      <c r="C82" s="10"/>
      <c r="D82" s="13"/>
      <c r="E82" s="10"/>
      <c r="F82" s="10"/>
      <c r="G82" s="10"/>
      <c r="H82" s="11"/>
      <c r="I82" s="11"/>
      <c r="J82" s="11"/>
      <c r="K82" s="11"/>
      <c r="L82" s="11"/>
      <c r="M82" s="11"/>
      <c r="O82" s="4"/>
      <c r="S82" s="4"/>
      <c r="T82" s="4"/>
      <c r="U82" s="4"/>
      <c r="V82" s="4"/>
      <c r="W82" s="4"/>
    </row>
    <row r="83" spans="1:43" s="18" customFormat="1" x14ac:dyDescent="0.4">
      <c r="A83" s="17" t="s">
        <v>45</v>
      </c>
      <c r="B83" s="1">
        <f t="shared" ref="B83:I83" si="14">SUM(B60:B75)</f>
        <v>0</v>
      </c>
      <c r="C83" s="1">
        <f t="shared" si="14"/>
        <v>83817.600000000006</v>
      </c>
      <c r="D83" s="1">
        <f t="shared" si="14"/>
        <v>0</v>
      </c>
      <c r="E83" s="1">
        <f t="shared" si="14"/>
        <v>0</v>
      </c>
      <c r="F83" s="1">
        <f t="shared" si="14"/>
        <v>50337</v>
      </c>
      <c r="G83" s="1">
        <f t="shared" si="14"/>
        <v>0</v>
      </c>
      <c r="H83" s="1">
        <f t="shared" si="14"/>
        <v>0</v>
      </c>
      <c r="I83" s="1">
        <f t="shared" si="14"/>
        <v>94107.24</v>
      </c>
      <c r="J83" s="1">
        <f>SUM(J60:J80)</f>
        <v>54203.900000000009</v>
      </c>
      <c r="K83" s="1">
        <f>SUM(K60:K80)</f>
        <v>41287.67</v>
      </c>
      <c r="L83" s="1">
        <f t="shared" ref="L83:U83" si="15">SUM(L60:L76)</f>
        <v>73795.7</v>
      </c>
      <c r="M83" s="1">
        <f t="shared" si="15"/>
        <v>0</v>
      </c>
      <c r="N83" s="1">
        <f t="shared" si="15"/>
        <v>0</v>
      </c>
      <c r="O83" s="1">
        <f t="shared" si="15"/>
        <v>63458.44</v>
      </c>
      <c r="P83" s="1">
        <f t="shared" si="15"/>
        <v>40904.39</v>
      </c>
      <c r="Q83" s="1">
        <f t="shared" si="15"/>
        <v>39680</v>
      </c>
      <c r="R83" s="1">
        <f t="shared" si="15"/>
        <v>50477</v>
      </c>
      <c r="S83" s="1">
        <f t="shared" si="15"/>
        <v>30125</v>
      </c>
      <c r="T83" s="1">
        <f t="shared" si="15"/>
        <v>0</v>
      </c>
      <c r="U83" s="1">
        <f t="shared" si="15"/>
        <v>10216</v>
      </c>
      <c r="V83" s="1">
        <f t="shared" ref="V83:AA83" si="16">SUM(V60:V80)</f>
        <v>0</v>
      </c>
      <c r="W83" s="1">
        <f t="shared" si="16"/>
        <v>17000</v>
      </c>
      <c r="X83" s="1">
        <f t="shared" si="16"/>
        <v>14020.79</v>
      </c>
      <c r="Y83" s="1">
        <f t="shared" si="16"/>
        <v>29937.66</v>
      </c>
      <c r="Z83" s="1">
        <f t="shared" si="16"/>
        <v>57678.979999999996</v>
      </c>
      <c r="AA83" s="1">
        <f t="shared" si="16"/>
        <v>55078.78</v>
      </c>
      <c r="AB83" s="1">
        <f t="shared" ref="AB83:AP83" si="17">SUM(AB60:AB82)</f>
        <v>43082</v>
      </c>
      <c r="AC83" s="1">
        <f t="shared" si="17"/>
        <v>200870.71000000002</v>
      </c>
      <c r="AD83" s="1">
        <f t="shared" si="17"/>
        <v>0</v>
      </c>
      <c r="AE83" s="1">
        <f t="shared" si="17"/>
        <v>115773.20999999999</v>
      </c>
      <c r="AF83" s="1">
        <f t="shared" si="17"/>
        <v>48122.12</v>
      </c>
      <c r="AG83" s="1">
        <f t="shared" si="17"/>
        <v>0</v>
      </c>
      <c r="AH83" s="1">
        <f t="shared" si="17"/>
        <v>0</v>
      </c>
      <c r="AI83" s="1">
        <f t="shared" si="17"/>
        <v>0</v>
      </c>
      <c r="AJ83" s="1">
        <f t="shared" si="17"/>
        <v>0</v>
      </c>
      <c r="AK83" s="1">
        <f t="shared" si="17"/>
        <v>0</v>
      </c>
      <c r="AL83" s="1">
        <f t="shared" si="17"/>
        <v>0</v>
      </c>
      <c r="AM83" s="1">
        <f t="shared" si="17"/>
        <v>0</v>
      </c>
      <c r="AN83" s="1">
        <f t="shared" si="17"/>
        <v>0</v>
      </c>
      <c r="AO83" s="1">
        <f t="shared" si="17"/>
        <v>0</v>
      </c>
      <c r="AP83" s="1">
        <f t="shared" si="17"/>
        <v>0</v>
      </c>
    </row>
    <row r="84" spans="1:43" s="1" customFormat="1" x14ac:dyDescent="0.4">
      <c r="A84" s="9"/>
      <c r="B84" s="9"/>
      <c r="C84" s="10"/>
      <c r="D84" s="13"/>
      <c r="E84" s="10"/>
      <c r="F84" s="10"/>
      <c r="G84" s="10"/>
      <c r="H84" s="11"/>
      <c r="I84" s="11"/>
      <c r="J84" s="11"/>
      <c r="K84" s="11"/>
      <c r="L84" s="11"/>
      <c r="M84" s="11"/>
    </row>
    <row r="86" spans="1:43" s="29" customFormat="1" x14ac:dyDescent="0.4">
      <c r="A86" s="28" t="s">
        <v>106</v>
      </c>
      <c r="C86" s="30" t="s">
        <v>53</v>
      </c>
      <c r="D86" s="30" t="s">
        <v>53</v>
      </c>
      <c r="E86" s="30" t="s">
        <v>53</v>
      </c>
      <c r="F86" s="30" t="s">
        <v>53</v>
      </c>
      <c r="G86" s="30" t="s">
        <v>53</v>
      </c>
      <c r="H86" s="30" t="s">
        <v>53</v>
      </c>
      <c r="I86" s="30" t="s">
        <v>53</v>
      </c>
      <c r="J86" s="30" t="s">
        <v>53</v>
      </c>
      <c r="K86" s="30" t="s">
        <v>53</v>
      </c>
      <c r="L86" s="30" t="s">
        <v>53</v>
      </c>
      <c r="M86" s="30" t="s">
        <v>53</v>
      </c>
      <c r="N86" s="30" t="s">
        <v>53</v>
      </c>
      <c r="O86" s="30" t="s">
        <v>53</v>
      </c>
      <c r="P86" s="30" t="s">
        <v>53</v>
      </c>
      <c r="Q86" s="30" t="s">
        <v>53</v>
      </c>
      <c r="R86" s="30" t="s">
        <v>53</v>
      </c>
      <c r="S86" s="30" t="s">
        <v>53</v>
      </c>
      <c r="T86" s="30" t="s">
        <v>53</v>
      </c>
      <c r="U86" s="30" t="s">
        <v>53</v>
      </c>
      <c r="V86" s="30" t="s">
        <v>53</v>
      </c>
      <c r="W86" s="29" t="str">
        <f t="shared" ref="W86:AQ86" si="18">+W58</f>
        <v>Consuntivato</v>
      </c>
      <c r="X86" s="29" t="str">
        <f t="shared" si="18"/>
        <v>Consuntivato</v>
      </c>
      <c r="Y86" s="29" t="str">
        <f t="shared" si="18"/>
        <v>Consuntivato</v>
      </c>
      <c r="Z86" s="46" t="str">
        <f t="shared" si="18"/>
        <v>Consuntivato</v>
      </c>
      <c r="AA86" s="46" t="str">
        <f t="shared" si="18"/>
        <v>Consuntivato</v>
      </c>
      <c r="AB86" s="46" t="str">
        <f t="shared" si="18"/>
        <v>Consuntivato</v>
      </c>
      <c r="AC86" s="46" t="str">
        <f t="shared" si="18"/>
        <v>Consuntivato</v>
      </c>
      <c r="AD86" s="46" t="str">
        <f t="shared" si="18"/>
        <v>Consuntivato</v>
      </c>
      <c r="AE86" s="46" t="str">
        <f t="shared" si="18"/>
        <v>Consuntivato</v>
      </c>
      <c r="AF86" s="46" t="str">
        <f t="shared" si="18"/>
        <v>Consuntivato</v>
      </c>
      <c r="AG86" s="46">
        <f t="shared" si="18"/>
        <v>0</v>
      </c>
      <c r="AH86" s="46">
        <f t="shared" si="18"/>
        <v>0</v>
      </c>
      <c r="AI86" s="46">
        <f t="shared" si="18"/>
        <v>0</v>
      </c>
      <c r="AJ86" s="46">
        <f t="shared" si="18"/>
        <v>0</v>
      </c>
      <c r="AK86" s="29">
        <f t="shared" si="18"/>
        <v>0</v>
      </c>
      <c r="AL86" s="29">
        <f t="shared" si="18"/>
        <v>0</v>
      </c>
      <c r="AM86" s="29">
        <f t="shared" si="18"/>
        <v>0</v>
      </c>
      <c r="AN86" s="29">
        <f t="shared" si="18"/>
        <v>0</v>
      </c>
      <c r="AO86" s="29">
        <f t="shared" si="18"/>
        <v>0</v>
      </c>
      <c r="AP86" s="29">
        <f t="shared" si="18"/>
        <v>0</v>
      </c>
      <c r="AQ86" s="29">
        <f t="shared" si="18"/>
        <v>0</v>
      </c>
    </row>
    <row r="87" spans="1:43" s="15" customFormat="1" ht="15" x14ac:dyDescent="0.5">
      <c r="A87" s="16">
        <f>+A2</f>
        <v>2019</v>
      </c>
      <c r="B87" s="2">
        <v>4</v>
      </c>
      <c r="C87" s="2">
        <v>5</v>
      </c>
      <c r="D87" s="2">
        <v>6</v>
      </c>
      <c r="E87" s="2">
        <v>7</v>
      </c>
      <c r="F87" s="2">
        <v>8</v>
      </c>
      <c r="G87" s="2">
        <v>9</v>
      </c>
      <c r="H87" s="2">
        <v>10</v>
      </c>
      <c r="I87" s="2">
        <v>11</v>
      </c>
      <c r="J87" s="2">
        <v>12</v>
      </c>
      <c r="K87" s="22">
        <v>1</v>
      </c>
      <c r="L87" s="22">
        <v>2</v>
      </c>
      <c r="M87" s="22">
        <v>3</v>
      </c>
      <c r="N87" s="22">
        <v>4</v>
      </c>
      <c r="O87" s="22">
        <v>5</v>
      </c>
      <c r="P87" s="22">
        <v>6</v>
      </c>
      <c r="Q87" s="22">
        <v>7</v>
      </c>
      <c r="R87" s="22">
        <v>8</v>
      </c>
      <c r="S87" s="22">
        <v>9</v>
      </c>
      <c r="T87" s="22">
        <v>10</v>
      </c>
      <c r="U87" s="22">
        <v>11</v>
      </c>
      <c r="V87" s="22">
        <v>12</v>
      </c>
      <c r="W87" s="22">
        <v>1</v>
      </c>
      <c r="X87" s="22">
        <v>2</v>
      </c>
      <c r="Y87" s="22">
        <v>3</v>
      </c>
      <c r="Z87" s="22">
        <v>4</v>
      </c>
      <c r="AA87" s="22">
        <v>5</v>
      </c>
      <c r="AB87" s="22">
        <v>6</v>
      </c>
      <c r="AC87" s="22">
        <v>7</v>
      </c>
      <c r="AD87" s="22">
        <v>8</v>
      </c>
      <c r="AE87" s="22">
        <v>9</v>
      </c>
      <c r="AF87" s="22">
        <v>10</v>
      </c>
      <c r="AG87" s="22">
        <v>11</v>
      </c>
      <c r="AH87" s="22">
        <v>12</v>
      </c>
      <c r="AI87" s="22">
        <v>1</v>
      </c>
      <c r="AJ87" s="22">
        <v>2</v>
      </c>
      <c r="AK87" s="22">
        <v>3</v>
      </c>
      <c r="AL87" s="22">
        <v>4</v>
      </c>
      <c r="AM87" s="22">
        <v>5</v>
      </c>
      <c r="AN87" s="22">
        <v>6</v>
      </c>
      <c r="AO87" s="22">
        <v>7</v>
      </c>
      <c r="AP87" s="22">
        <v>8</v>
      </c>
    </row>
    <row r="88" spans="1:43" s="4" customFormat="1" x14ac:dyDescent="0.4">
      <c r="A88" s="9" t="str">
        <f t="shared" ref="A88:A110" si="19">+A60</f>
        <v>Cliente 1</v>
      </c>
    </row>
    <row r="89" spans="1:43" s="4" customFormat="1" x14ac:dyDescent="0.4">
      <c r="A89" s="9" t="str">
        <f t="shared" si="19"/>
        <v>Cliente 2</v>
      </c>
      <c r="T89" s="8"/>
      <c r="Z89" s="8"/>
      <c r="AA89" s="8"/>
      <c r="AC89" s="4">
        <v>7166</v>
      </c>
      <c r="AD89" s="4">
        <v>7166</v>
      </c>
      <c r="AE89" s="8">
        <f>+AC61/2</f>
        <v>25776</v>
      </c>
      <c r="AF89" s="4">
        <f>+AC61/2</f>
        <v>25776</v>
      </c>
    </row>
    <row r="90" spans="1:43" s="4" customFormat="1" x14ac:dyDescent="0.4">
      <c r="A90" s="9" t="str">
        <f t="shared" si="19"/>
        <v>Cliente 3</v>
      </c>
      <c r="K90" s="8"/>
      <c r="L90" s="8"/>
      <c r="M90" s="8">
        <v>30300.240000000002</v>
      </c>
      <c r="N90" s="8"/>
      <c r="O90" s="8"/>
      <c r="R90" s="4">
        <v>31101</v>
      </c>
      <c r="T90" s="8">
        <v>14675</v>
      </c>
      <c r="U90" s="4">
        <v>29350</v>
      </c>
      <c r="W90" s="4">
        <f>+S62</f>
        <v>29350</v>
      </c>
      <c r="Z90" s="8"/>
      <c r="AA90" s="8"/>
      <c r="AB90" s="4">
        <f>+Y62</f>
        <v>13509.33</v>
      </c>
      <c r="AD90" s="4">
        <v>39184.519999999997</v>
      </c>
      <c r="AE90" s="8"/>
      <c r="AG90" s="4">
        <v>12910.03</v>
      </c>
    </row>
    <row r="91" spans="1:43" s="1" customFormat="1" x14ac:dyDescent="0.4">
      <c r="A91" s="9" t="str">
        <f t="shared" si="19"/>
        <v>Cliente 4</v>
      </c>
      <c r="B91" s="10"/>
      <c r="C91" s="10"/>
      <c r="D91" s="10"/>
      <c r="E91" s="10"/>
      <c r="F91" s="10">
        <f>+C63</f>
        <v>1596</v>
      </c>
      <c r="G91" s="10"/>
      <c r="H91" s="25"/>
      <c r="I91" s="25"/>
      <c r="J91" s="25"/>
      <c r="K91" s="26"/>
      <c r="L91" s="26"/>
      <c r="M91" s="24"/>
      <c r="N91" s="5"/>
      <c r="O91" s="8"/>
      <c r="P91" s="4"/>
      <c r="Q91" s="4"/>
      <c r="R91" s="4"/>
      <c r="T91" s="8">
        <v>1104</v>
      </c>
      <c r="Z91" s="8">
        <v>1300</v>
      </c>
      <c r="AA91" s="8">
        <f>500+810</f>
        <v>1310</v>
      </c>
      <c r="AB91" s="4">
        <v>650</v>
      </c>
      <c r="AC91" s="4">
        <v>1900</v>
      </c>
      <c r="AE91" s="8">
        <v>1404</v>
      </c>
    </row>
    <row r="92" spans="1:43" s="1" customFormat="1" x14ac:dyDescent="0.4">
      <c r="A92" s="9" t="str">
        <f t="shared" si="19"/>
        <v>Cliente 5</v>
      </c>
      <c r="B92" s="10"/>
      <c r="C92" s="10"/>
      <c r="D92" s="10"/>
      <c r="E92" s="10">
        <v>4219.2</v>
      </c>
      <c r="F92" s="10"/>
      <c r="G92" s="10"/>
      <c r="H92" s="25"/>
      <c r="I92" s="25"/>
      <c r="J92" s="25"/>
      <c r="K92" s="26"/>
      <c r="L92" s="26"/>
      <c r="M92" s="24"/>
      <c r="N92" s="5"/>
      <c r="O92" s="8"/>
      <c r="P92" s="4"/>
      <c r="Q92" s="4"/>
      <c r="R92" s="4"/>
      <c r="S92" s="4">
        <v>6328.8</v>
      </c>
      <c r="T92" s="5"/>
      <c r="U92" s="4"/>
      <c r="Z92" s="5"/>
      <c r="AA92" s="5"/>
      <c r="AE92" s="5"/>
    </row>
    <row r="93" spans="1:43" s="1" customFormat="1" x14ac:dyDescent="0.4">
      <c r="A93" s="9" t="str">
        <f t="shared" si="19"/>
        <v>Cliente 6</v>
      </c>
      <c r="B93" s="10"/>
      <c r="E93" s="10"/>
      <c r="F93" s="10"/>
      <c r="G93" s="10"/>
      <c r="H93" s="25"/>
      <c r="I93" s="25"/>
      <c r="J93" s="25"/>
      <c r="K93" s="26"/>
      <c r="L93" s="26"/>
      <c r="M93" s="24"/>
      <c r="N93" s="5"/>
      <c r="O93" s="8"/>
      <c r="P93" s="4"/>
      <c r="Q93" s="4"/>
      <c r="R93" s="4"/>
      <c r="S93" s="4">
        <v>3664.8</v>
      </c>
      <c r="T93" s="5"/>
      <c r="Z93" s="5"/>
      <c r="AA93" s="8"/>
      <c r="AB93" s="4"/>
      <c r="AE93" s="5"/>
    </row>
    <row r="94" spans="1:43" s="1" customFormat="1" x14ac:dyDescent="0.4">
      <c r="A94" s="9" t="str">
        <f t="shared" si="19"/>
        <v>Cliente 7</v>
      </c>
      <c r="B94" s="10"/>
      <c r="C94" s="4"/>
      <c r="D94" s="10"/>
      <c r="E94" s="10"/>
      <c r="F94" s="10">
        <f>10250+4370</f>
        <v>14620</v>
      </c>
      <c r="G94" s="10"/>
      <c r="H94" s="25"/>
      <c r="I94" s="25"/>
      <c r="J94" s="25"/>
      <c r="K94" s="26"/>
      <c r="L94" s="26"/>
      <c r="M94" s="26">
        <v>1420</v>
      </c>
      <c r="N94" s="5"/>
      <c r="O94" s="8"/>
      <c r="P94" s="4"/>
      <c r="Q94" s="4"/>
      <c r="R94" s="4">
        <v>570</v>
      </c>
      <c r="T94" s="8">
        <v>2910</v>
      </c>
      <c r="U94" s="4">
        <v>1815</v>
      </c>
      <c r="X94" s="4">
        <f>+U66</f>
        <v>3810</v>
      </c>
      <c r="Z94" s="5"/>
      <c r="AA94" s="8">
        <v>600</v>
      </c>
      <c r="AB94" s="4">
        <f>1200+600</f>
        <v>1800</v>
      </c>
      <c r="AD94" s="4">
        <v>14800</v>
      </c>
      <c r="AE94" s="5"/>
      <c r="AF94" s="4">
        <v>10200</v>
      </c>
      <c r="AJ94" s="4">
        <v>2400</v>
      </c>
    </row>
    <row r="95" spans="1:43" s="1" customFormat="1" x14ac:dyDescent="0.4">
      <c r="A95" s="9" t="str">
        <f t="shared" si="19"/>
        <v>Cliente 8</v>
      </c>
      <c r="B95" s="10"/>
      <c r="C95" s="10"/>
      <c r="D95" s="10"/>
      <c r="E95" s="10"/>
      <c r="F95" s="10"/>
      <c r="G95" s="10"/>
      <c r="H95" s="25"/>
      <c r="I95" s="25"/>
      <c r="J95" s="25"/>
      <c r="K95" s="26">
        <f>7200</f>
        <v>7200</v>
      </c>
      <c r="L95" s="5"/>
      <c r="M95" s="26">
        <f>310*38*1.2</f>
        <v>14136</v>
      </c>
      <c r="N95" s="8"/>
      <c r="O95" s="26">
        <v>24168</v>
      </c>
      <c r="P95" s="4"/>
      <c r="Q95" s="4"/>
      <c r="R95" s="4"/>
      <c r="T95" s="5"/>
      <c r="Z95" s="5"/>
      <c r="AA95" s="5"/>
      <c r="AE95" s="5"/>
    </row>
    <row r="96" spans="1:43" s="1" customFormat="1" x14ac:dyDescent="0.4">
      <c r="A96" s="9" t="str">
        <f t="shared" si="19"/>
        <v>Cliente 9</v>
      </c>
      <c r="B96" s="10"/>
      <c r="C96" s="10"/>
      <c r="D96" s="4"/>
      <c r="E96" s="4"/>
      <c r="F96" s="10">
        <f>(36669-7747)*1.2</f>
        <v>34706.400000000001</v>
      </c>
      <c r="G96" s="10"/>
      <c r="H96" s="10"/>
      <c r="I96" s="10"/>
      <c r="J96" s="25"/>
      <c r="K96" s="26"/>
      <c r="L96" s="26">
        <v>23952</v>
      </c>
      <c r="M96" s="24"/>
      <c r="N96" s="8"/>
      <c r="O96" s="8"/>
      <c r="P96" s="4"/>
      <c r="Q96" s="4"/>
      <c r="R96" s="4"/>
      <c r="T96" s="5"/>
      <c r="Z96" s="5"/>
      <c r="AA96" s="5"/>
      <c r="AE96" s="5"/>
    </row>
    <row r="97" spans="1:42" s="1" customFormat="1" x14ac:dyDescent="0.4">
      <c r="A97" s="9" t="str">
        <f t="shared" si="19"/>
        <v>Cliente 10</v>
      </c>
      <c r="B97" s="9"/>
      <c r="C97" s="10"/>
      <c r="D97" s="4"/>
      <c r="E97" s="4">
        <v>38218.050000000003</v>
      </c>
      <c r="F97" s="10">
        <f>+C69</f>
        <v>32895.199999999997</v>
      </c>
      <c r="G97" s="10"/>
      <c r="H97" s="10">
        <v>21855</v>
      </c>
      <c r="I97" s="25">
        <v>28482</v>
      </c>
      <c r="J97" s="25"/>
      <c r="K97" s="26"/>
      <c r="L97" s="26">
        <v>6815</v>
      </c>
      <c r="M97" s="26">
        <v>53755.57</v>
      </c>
      <c r="N97" s="8">
        <v>1813.5</v>
      </c>
      <c r="O97" s="8"/>
      <c r="P97" s="4"/>
      <c r="Q97" s="4">
        <v>29207.439999999999</v>
      </c>
      <c r="R97" s="4"/>
      <c r="T97" s="8">
        <f>12545.79+1380</f>
        <v>13925.79</v>
      </c>
      <c r="U97" s="4">
        <f>+S69</f>
        <v>775</v>
      </c>
      <c r="W97" s="4">
        <f>+U69</f>
        <v>6406</v>
      </c>
      <c r="Z97" s="8">
        <v>494</v>
      </c>
      <c r="AA97" s="8">
        <f>9516.92+4663.25</f>
        <v>14180.17</v>
      </c>
      <c r="AB97" s="4">
        <v>4663.25</v>
      </c>
      <c r="AC97" s="4">
        <f>1028.58+4663.25+4658+1730</f>
        <v>12079.83</v>
      </c>
      <c r="AD97" s="4">
        <f>17844.46+4658+28750</f>
        <v>51252.46</v>
      </c>
      <c r="AE97" s="8">
        <f>4658+13074.78</f>
        <v>17732.78</v>
      </c>
      <c r="AF97" s="4">
        <v>25626.23</v>
      </c>
      <c r="AG97" s="4">
        <v>40459.9</v>
      </c>
      <c r="AH97" s="4">
        <v>16220.86</v>
      </c>
      <c r="AJ97" s="4">
        <v>90146.98</v>
      </c>
      <c r="AK97" s="4">
        <v>480</v>
      </c>
    </row>
    <row r="98" spans="1:42" s="1" customFormat="1" x14ac:dyDescent="0.4">
      <c r="A98" s="9" t="str">
        <f t="shared" si="19"/>
        <v>Cliente 11</v>
      </c>
      <c r="B98" s="9"/>
      <c r="C98" s="10"/>
      <c r="D98" s="10"/>
      <c r="E98" s="10"/>
      <c r="F98" s="10"/>
      <c r="G98" s="10"/>
      <c r="H98" s="25"/>
      <c r="I98" s="25"/>
      <c r="J98" s="25"/>
      <c r="K98" s="26"/>
      <c r="L98" s="26"/>
      <c r="M98" s="24"/>
      <c r="N98" s="8"/>
      <c r="O98" s="8"/>
      <c r="P98" s="4"/>
      <c r="Q98" s="4"/>
      <c r="R98" s="4"/>
      <c r="T98" s="5"/>
      <c r="Z98" s="5"/>
      <c r="AA98" s="5"/>
      <c r="AE98" s="5"/>
    </row>
    <row r="99" spans="1:42" s="1" customFormat="1" x14ac:dyDescent="0.4">
      <c r="A99" s="9" t="str">
        <f t="shared" si="19"/>
        <v>Cliente 12</v>
      </c>
      <c r="B99" s="9"/>
      <c r="C99" s="10"/>
      <c r="D99" s="10"/>
      <c r="E99" s="10"/>
      <c r="F99" s="10"/>
      <c r="G99" s="10"/>
      <c r="H99" s="25"/>
      <c r="I99" s="25"/>
      <c r="J99" s="25"/>
      <c r="K99" s="26"/>
      <c r="L99" s="26"/>
      <c r="M99" s="24"/>
      <c r="N99" s="26">
        <v>47814.2</v>
      </c>
      <c r="O99" s="8"/>
      <c r="P99" s="4"/>
      <c r="Q99" s="4">
        <v>1140</v>
      </c>
      <c r="R99" s="4"/>
      <c r="S99" s="4">
        <f>780+46178</f>
        <v>46958</v>
      </c>
      <c r="T99" s="5"/>
      <c r="Z99" s="8">
        <f>+W71</f>
        <v>17000</v>
      </c>
      <c r="AA99" s="5"/>
      <c r="AE99" s="8">
        <v>400</v>
      </c>
    </row>
    <row r="100" spans="1:42" s="1" customFormat="1" x14ac:dyDescent="0.4">
      <c r="A100" s="9" t="str">
        <f t="shared" si="19"/>
        <v>Cliente 13</v>
      </c>
      <c r="B100" s="9"/>
      <c r="C100" s="10"/>
      <c r="D100" s="10"/>
      <c r="E100" s="10">
        <v>1152</v>
      </c>
      <c r="F100" s="10"/>
      <c r="G100" s="10"/>
      <c r="H100" s="25"/>
      <c r="I100" s="25"/>
      <c r="J100" s="25"/>
      <c r="K100" s="26"/>
      <c r="L100" s="26"/>
      <c r="M100" s="24"/>
      <c r="N100" s="8"/>
      <c r="O100" s="8"/>
      <c r="P100" s="4"/>
      <c r="Q100" s="4"/>
      <c r="R100" s="4"/>
      <c r="T100" s="5"/>
      <c r="Z100" s="5"/>
      <c r="AA100" s="8">
        <v>409.87</v>
      </c>
      <c r="AE100" s="5"/>
      <c r="AI100" s="4">
        <v>408.62</v>
      </c>
    </row>
    <row r="101" spans="1:42" s="1" customFormat="1" x14ac:dyDescent="0.4">
      <c r="A101" s="9" t="str">
        <f t="shared" si="19"/>
        <v>Cliente 14</v>
      </c>
      <c r="B101" s="9"/>
      <c r="C101" s="10"/>
      <c r="D101" s="10"/>
      <c r="E101" s="10"/>
      <c r="F101" s="10"/>
      <c r="G101" s="10"/>
      <c r="H101" s="25"/>
      <c r="I101" s="25"/>
      <c r="J101" s="25"/>
      <c r="K101" s="26"/>
      <c r="L101" s="26">
        <v>10540</v>
      </c>
      <c r="M101" s="26">
        <v>10540</v>
      </c>
      <c r="N101" s="26">
        <v>10540</v>
      </c>
      <c r="O101" s="8"/>
      <c r="P101" s="4"/>
      <c r="Q101" s="4"/>
      <c r="R101" s="4"/>
      <c r="T101" s="8">
        <v>10330</v>
      </c>
      <c r="Z101" s="5"/>
      <c r="AA101" s="5"/>
      <c r="AE101" s="5"/>
    </row>
    <row r="102" spans="1:42" s="1" customFormat="1" x14ac:dyDescent="0.4">
      <c r="A102" s="9" t="str">
        <f t="shared" si="19"/>
        <v>Cliente 15</v>
      </c>
      <c r="B102" s="9"/>
      <c r="C102" s="10"/>
      <c r="D102" s="10"/>
      <c r="E102" s="10"/>
      <c r="F102" s="10"/>
      <c r="G102" s="10"/>
      <c r="H102" s="25"/>
      <c r="I102" s="25"/>
      <c r="J102" s="25"/>
      <c r="K102" s="26"/>
      <c r="L102" s="5"/>
      <c r="M102" s="26">
        <v>10200</v>
      </c>
      <c r="N102" s="26">
        <v>10200</v>
      </c>
      <c r="O102" s="8"/>
      <c r="P102" s="4"/>
      <c r="Q102" s="4"/>
      <c r="R102" s="4"/>
      <c r="T102" s="5"/>
      <c r="Z102" s="5"/>
      <c r="AA102" s="5"/>
      <c r="AE102" s="5"/>
    </row>
    <row r="103" spans="1:42" s="1" customFormat="1" x14ac:dyDescent="0.4">
      <c r="A103" s="9" t="str">
        <f t="shared" si="19"/>
        <v>Cliente 16</v>
      </c>
      <c r="B103" s="9"/>
      <c r="C103" s="10"/>
      <c r="D103" s="10"/>
      <c r="E103" s="10"/>
      <c r="F103" s="10"/>
      <c r="G103" s="10"/>
      <c r="H103" s="11"/>
      <c r="I103" s="11"/>
      <c r="J103" s="11"/>
      <c r="K103" s="11"/>
      <c r="L103" s="11"/>
      <c r="M103" s="11"/>
      <c r="O103" s="4"/>
      <c r="P103" s="4"/>
      <c r="Q103" s="4">
        <v>1440</v>
      </c>
      <c r="R103" s="4"/>
      <c r="T103" s="5"/>
      <c r="Z103" s="5"/>
      <c r="AE103" s="5"/>
    </row>
    <row r="104" spans="1:42" s="1" customFormat="1" x14ac:dyDescent="0.4">
      <c r="A104" s="9" t="str">
        <f t="shared" si="19"/>
        <v>Cliente 17</v>
      </c>
      <c r="B104" s="9"/>
      <c r="C104" s="10"/>
      <c r="D104" s="10"/>
      <c r="E104" s="10"/>
      <c r="F104" s="10"/>
      <c r="G104" s="10"/>
      <c r="H104" s="11"/>
      <c r="I104" s="11"/>
      <c r="J104" s="11"/>
      <c r="K104" s="11"/>
      <c r="L104" s="11"/>
      <c r="M104" s="11"/>
      <c r="O104" s="4"/>
      <c r="P104" s="4"/>
      <c r="Q104" s="4"/>
      <c r="R104" s="4"/>
      <c r="T104" s="5"/>
      <c r="AE104" s="8">
        <v>1872</v>
      </c>
    </row>
    <row r="105" spans="1:42" s="1" customFormat="1" x14ac:dyDescent="0.4">
      <c r="A105" s="9" t="str">
        <f t="shared" si="19"/>
        <v>Cliente 18</v>
      </c>
      <c r="B105" s="9"/>
      <c r="C105" s="10"/>
      <c r="D105" s="10"/>
      <c r="E105" s="10"/>
      <c r="F105" s="10"/>
      <c r="G105" s="10"/>
      <c r="H105" s="11"/>
      <c r="I105" s="11"/>
      <c r="J105" s="11"/>
      <c r="K105" s="11"/>
      <c r="L105" s="11"/>
      <c r="M105" s="11"/>
      <c r="O105" s="4"/>
      <c r="P105" s="4"/>
      <c r="Q105" s="4"/>
      <c r="R105" s="4"/>
      <c r="T105" s="5"/>
      <c r="AC105" s="8">
        <v>4800</v>
      </c>
      <c r="AD105" s="8">
        <v>4800</v>
      </c>
      <c r="AE105" s="5"/>
    </row>
    <row r="106" spans="1:42" s="1" customFormat="1" x14ac:dyDescent="0.4">
      <c r="A106" s="9" t="str">
        <f t="shared" si="19"/>
        <v>Cliente 19</v>
      </c>
      <c r="B106" s="9"/>
      <c r="C106" s="10"/>
      <c r="D106" s="10"/>
      <c r="E106" s="10"/>
      <c r="F106" s="10"/>
      <c r="G106" s="10"/>
      <c r="H106" s="11"/>
      <c r="I106" s="11"/>
      <c r="J106" s="11"/>
      <c r="K106" s="11"/>
      <c r="L106" s="11"/>
      <c r="M106" s="11"/>
      <c r="O106" s="4"/>
      <c r="P106" s="4"/>
      <c r="Q106" s="4"/>
      <c r="R106" s="4"/>
      <c r="T106" s="5"/>
      <c r="AE106" s="5"/>
    </row>
    <row r="107" spans="1:42" s="1" customFormat="1" x14ac:dyDescent="0.4">
      <c r="A107" s="9" t="str">
        <f t="shared" si="19"/>
        <v>Cliente 20</v>
      </c>
      <c r="B107" s="9"/>
      <c r="C107" s="10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O107" s="4"/>
      <c r="P107" s="4"/>
      <c r="Q107" s="4"/>
      <c r="R107" s="4"/>
      <c r="T107" s="5"/>
      <c r="AE107" s="5"/>
      <c r="AF107" s="4">
        <v>21380.400000000001</v>
      </c>
      <c r="AG107" s="4">
        <v>21380.400000000001</v>
      </c>
      <c r="AH107" s="4">
        <v>21380.400000000001</v>
      </c>
      <c r="AI107" s="4">
        <v>14944.5</v>
      </c>
      <c r="AJ107" s="4">
        <v>14944.5</v>
      </c>
      <c r="AK107" s="4">
        <v>14944.5</v>
      </c>
    </row>
    <row r="108" spans="1:42" s="1" customFormat="1" x14ac:dyDescent="0.4">
      <c r="A108" s="9" t="str">
        <f t="shared" si="19"/>
        <v>Cliente 21</v>
      </c>
      <c r="B108" s="9"/>
      <c r="C108" s="10"/>
      <c r="D108" s="10"/>
      <c r="E108" s="10"/>
      <c r="F108" s="10"/>
      <c r="G108" s="10"/>
      <c r="H108" s="11"/>
      <c r="I108" s="11"/>
      <c r="J108" s="11"/>
      <c r="K108" s="11"/>
      <c r="L108" s="11"/>
      <c r="M108" s="11"/>
      <c r="O108" s="4"/>
      <c r="P108" s="4"/>
      <c r="Q108" s="4"/>
      <c r="R108" s="4"/>
      <c r="T108" s="5"/>
      <c r="AE108" s="5"/>
    </row>
    <row r="109" spans="1:42" s="1" customFormat="1" x14ac:dyDescent="0.4">
      <c r="A109" s="9" t="str">
        <f t="shared" si="19"/>
        <v>Cliente 22</v>
      </c>
      <c r="B109" s="9"/>
      <c r="C109" s="10"/>
      <c r="D109" s="10"/>
      <c r="E109" s="10"/>
      <c r="F109" s="10"/>
      <c r="G109" s="10"/>
      <c r="H109" s="11"/>
      <c r="I109" s="11"/>
      <c r="J109" s="11"/>
      <c r="K109" s="11"/>
      <c r="L109" s="11"/>
      <c r="M109" s="11"/>
      <c r="O109" s="4"/>
      <c r="P109" s="4"/>
      <c r="Q109" s="4"/>
      <c r="R109" s="4"/>
      <c r="T109" s="5"/>
      <c r="AE109" s="5"/>
      <c r="AF109" s="4">
        <v>1710.72</v>
      </c>
    </row>
    <row r="110" spans="1:42" s="1" customFormat="1" x14ac:dyDescent="0.4">
      <c r="A110" s="9" t="str">
        <f t="shared" si="19"/>
        <v>Cliente 23</v>
      </c>
      <c r="B110" s="9"/>
      <c r="C110" s="10"/>
      <c r="D110" s="10"/>
      <c r="E110" s="10"/>
      <c r="F110" s="10"/>
      <c r="G110" s="10"/>
      <c r="H110" s="11"/>
      <c r="I110" s="11"/>
      <c r="J110" s="11"/>
      <c r="K110" s="11"/>
      <c r="L110" s="11"/>
      <c r="M110" s="11"/>
      <c r="O110" s="4"/>
      <c r="P110" s="4"/>
      <c r="Q110" s="4"/>
      <c r="R110" s="4"/>
      <c r="T110" s="5"/>
      <c r="AE110" s="5"/>
    </row>
    <row r="111" spans="1:42" s="18" customFormat="1" x14ac:dyDescent="0.4">
      <c r="A111" s="17" t="s">
        <v>45</v>
      </c>
      <c r="B111" s="1">
        <f t="shared" ref="B111:K111" si="20">SUM(B88:B103)</f>
        <v>0</v>
      </c>
      <c r="C111" s="1">
        <f t="shared" si="20"/>
        <v>0</v>
      </c>
      <c r="D111" s="1">
        <f t="shared" si="20"/>
        <v>0</v>
      </c>
      <c r="E111" s="1">
        <f t="shared" si="20"/>
        <v>43589.25</v>
      </c>
      <c r="F111" s="1">
        <f t="shared" si="20"/>
        <v>83817.600000000006</v>
      </c>
      <c r="G111" s="1">
        <f t="shared" si="20"/>
        <v>0</v>
      </c>
      <c r="H111" s="1">
        <f t="shared" si="20"/>
        <v>21855</v>
      </c>
      <c r="I111" s="1">
        <f t="shared" si="20"/>
        <v>28482</v>
      </c>
      <c r="J111" s="1">
        <f t="shared" si="20"/>
        <v>0</v>
      </c>
      <c r="K111" s="1">
        <f t="shared" si="20"/>
        <v>7200</v>
      </c>
      <c r="L111" s="1">
        <f t="shared" ref="L111:U111" si="21">SUM(L88:L104)</f>
        <v>41307</v>
      </c>
      <c r="M111" s="1">
        <f t="shared" si="21"/>
        <v>120351.81</v>
      </c>
      <c r="N111" s="1">
        <f t="shared" si="21"/>
        <v>70367.7</v>
      </c>
      <c r="O111" s="1">
        <f t="shared" si="21"/>
        <v>24168</v>
      </c>
      <c r="P111" s="1">
        <f t="shared" si="21"/>
        <v>0</v>
      </c>
      <c r="Q111" s="1">
        <f t="shared" si="21"/>
        <v>31787.439999999999</v>
      </c>
      <c r="R111" s="1">
        <f t="shared" si="21"/>
        <v>31671</v>
      </c>
      <c r="S111" s="1">
        <f t="shared" si="21"/>
        <v>56951.6</v>
      </c>
      <c r="T111" s="1">
        <f t="shared" si="21"/>
        <v>42944.79</v>
      </c>
      <c r="U111" s="1">
        <f t="shared" si="21"/>
        <v>31940</v>
      </c>
      <c r="V111" s="1">
        <f t="shared" ref="V111:AA111" si="22">SUM(V88:V108)</f>
        <v>0</v>
      </c>
      <c r="W111" s="1">
        <f t="shared" si="22"/>
        <v>35756</v>
      </c>
      <c r="X111" s="1">
        <f t="shared" si="22"/>
        <v>3810</v>
      </c>
      <c r="Y111" s="1">
        <f t="shared" si="22"/>
        <v>0</v>
      </c>
      <c r="Z111" s="1">
        <f t="shared" si="22"/>
        <v>18794</v>
      </c>
      <c r="AA111" s="1">
        <f t="shared" si="22"/>
        <v>16500.04</v>
      </c>
      <c r="AB111" s="1">
        <f t="shared" ref="AB111:AP111" si="23">SUM(AB88:AB110)</f>
        <v>20622.580000000002</v>
      </c>
      <c r="AC111" s="1">
        <f t="shared" si="23"/>
        <v>25945.83</v>
      </c>
      <c r="AD111" s="1">
        <f t="shared" si="23"/>
        <v>117202.98</v>
      </c>
      <c r="AE111" s="1">
        <f t="shared" si="23"/>
        <v>47184.78</v>
      </c>
      <c r="AF111" s="1">
        <f t="shared" si="23"/>
        <v>84693.35</v>
      </c>
      <c r="AG111" s="1">
        <f t="shared" si="23"/>
        <v>74750.33</v>
      </c>
      <c r="AH111" s="1">
        <f t="shared" si="23"/>
        <v>37601.26</v>
      </c>
      <c r="AI111" s="1">
        <f t="shared" si="23"/>
        <v>15353.12</v>
      </c>
      <c r="AJ111" s="1">
        <f t="shared" si="23"/>
        <v>107491.48</v>
      </c>
      <c r="AK111" s="1">
        <f t="shared" si="23"/>
        <v>15424.5</v>
      </c>
      <c r="AL111" s="1">
        <f t="shared" si="23"/>
        <v>0</v>
      </c>
      <c r="AM111" s="1">
        <f t="shared" si="23"/>
        <v>0</v>
      </c>
      <c r="AN111" s="1">
        <f t="shared" si="23"/>
        <v>0</v>
      </c>
      <c r="AO111" s="1">
        <f t="shared" si="23"/>
        <v>0</v>
      </c>
      <c r="AP111" s="1">
        <f t="shared" si="23"/>
        <v>0</v>
      </c>
    </row>
    <row r="112" spans="1:42" x14ac:dyDescent="0.4">
      <c r="B112" s="9"/>
      <c r="C112" s="10"/>
      <c r="D112" s="13"/>
    </row>
    <row r="113" spans="1:46" x14ac:dyDescent="0.4">
      <c r="B113" s="19"/>
      <c r="C113" s="20"/>
      <c r="D113" s="20"/>
    </row>
    <row r="114" spans="1:46" s="41" customFormat="1" x14ac:dyDescent="0.4">
      <c r="A114" s="40" t="s">
        <v>60</v>
      </c>
      <c r="C114" s="42" t="s">
        <v>53</v>
      </c>
      <c r="D114" s="42" t="s">
        <v>53</v>
      </c>
      <c r="E114" s="42" t="s">
        <v>53</v>
      </c>
      <c r="F114" s="42" t="s">
        <v>53</v>
      </c>
      <c r="G114" s="42" t="s">
        <v>53</v>
      </c>
      <c r="H114" s="42" t="s">
        <v>53</v>
      </c>
      <c r="I114" s="42" t="s">
        <v>53</v>
      </c>
      <c r="J114" s="42" t="s">
        <v>53</v>
      </c>
      <c r="K114" s="42" t="s">
        <v>53</v>
      </c>
      <c r="L114" s="42" t="s">
        <v>53</v>
      </c>
      <c r="M114" s="42" t="s">
        <v>53</v>
      </c>
      <c r="N114" s="42" t="s">
        <v>53</v>
      </c>
      <c r="O114" s="42" t="s">
        <v>53</v>
      </c>
      <c r="P114" s="42" t="s">
        <v>53</v>
      </c>
      <c r="Q114" s="42" t="s">
        <v>53</v>
      </c>
      <c r="R114" s="42" t="s">
        <v>53</v>
      </c>
      <c r="S114" s="42" t="s">
        <v>53</v>
      </c>
      <c r="T114" s="42" t="s">
        <v>53</v>
      </c>
      <c r="U114" s="42" t="s">
        <v>53</v>
      </c>
      <c r="V114" s="42" t="s">
        <v>53</v>
      </c>
      <c r="W114" s="41" t="str">
        <f t="shared" ref="W114:AT114" si="24">+W86</f>
        <v>Consuntivato</v>
      </c>
      <c r="X114" s="41" t="str">
        <f t="shared" si="24"/>
        <v>Consuntivato</v>
      </c>
      <c r="Y114" s="41" t="str">
        <f t="shared" si="24"/>
        <v>Consuntivato</v>
      </c>
      <c r="Z114" s="47" t="str">
        <f t="shared" si="24"/>
        <v>Consuntivato</v>
      </c>
      <c r="AA114" s="47" t="str">
        <f t="shared" si="24"/>
        <v>Consuntivato</v>
      </c>
      <c r="AB114" s="47" t="str">
        <f t="shared" si="24"/>
        <v>Consuntivato</v>
      </c>
      <c r="AC114" s="47" t="str">
        <f t="shared" si="24"/>
        <v>Consuntivato</v>
      </c>
      <c r="AD114" s="47" t="str">
        <f t="shared" si="24"/>
        <v>Consuntivato</v>
      </c>
      <c r="AE114" s="47" t="str">
        <f t="shared" si="24"/>
        <v>Consuntivato</v>
      </c>
      <c r="AF114" s="47" t="str">
        <f t="shared" si="24"/>
        <v>Consuntivato</v>
      </c>
      <c r="AG114" s="47">
        <f t="shared" si="24"/>
        <v>0</v>
      </c>
      <c r="AH114" s="47">
        <f t="shared" si="24"/>
        <v>0</v>
      </c>
      <c r="AI114" s="47">
        <f t="shared" si="24"/>
        <v>0</v>
      </c>
      <c r="AJ114" s="41">
        <f t="shared" si="24"/>
        <v>0</v>
      </c>
      <c r="AK114" s="41">
        <f t="shared" si="24"/>
        <v>0</v>
      </c>
      <c r="AL114" s="41">
        <f t="shared" si="24"/>
        <v>0</v>
      </c>
      <c r="AM114" s="41">
        <f t="shared" si="24"/>
        <v>0</v>
      </c>
      <c r="AN114" s="41">
        <f t="shared" si="24"/>
        <v>0</v>
      </c>
      <c r="AO114" s="41">
        <f t="shared" si="24"/>
        <v>0</v>
      </c>
      <c r="AP114" s="41">
        <f t="shared" si="24"/>
        <v>0</v>
      </c>
      <c r="AQ114" s="41">
        <f t="shared" si="24"/>
        <v>0</v>
      </c>
      <c r="AR114" s="41">
        <f t="shared" si="24"/>
        <v>0</v>
      </c>
      <c r="AS114" s="41">
        <f t="shared" si="24"/>
        <v>0</v>
      </c>
      <c r="AT114" s="41">
        <f t="shared" si="24"/>
        <v>0</v>
      </c>
    </row>
    <row r="115" spans="1:46" s="15" customFormat="1" ht="15" x14ac:dyDescent="0.5">
      <c r="A115" s="16">
        <f t="shared" ref="A115:A138" si="25">+A87</f>
        <v>2019</v>
      </c>
      <c r="B115" s="2">
        <v>4</v>
      </c>
      <c r="C115" s="2">
        <v>5</v>
      </c>
      <c r="D115" s="2">
        <v>6</v>
      </c>
      <c r="E115" s="2">
        <v>7</v>
      </c>
      <c r="F115" s="2">
        <v>8</v>
      </c>
      <c r="G115" s="2">
        <v>9</v>
      </c>
      <c r="H115" s="2">
        <v>10</v>
      </c>
      <c r="I115" s="2">
        <v>11</v>
      </c>
      <c r="J115" s="2">
        <v>12</v>
      </c>
      <c r="K115" s="22">
        <v>1</v>
      </c>
      <c r="L115" s="22">
        <v>2</v>
      </c>
      <c r="M115" s="22">
        <v>3</v>
      </c>
      <c r="N115" s="22">
        <v>4</v>
      </c>
      <c r="O115" s="22">
        <v>5</v>
      </c>
      <c r="P115" s="22">
        <v>6</v>
      </c>
      <c r="Q115" s="22">
        <v>7</v>
      </c>
      <c r="R115" s="22">
        <v>8</v>
      </c>
      <c r="S115" s="22">
        <v>9</v>
      </c>
      <c r="T115" s="22">
        <v>10</v>
      </c>
      <c r="U115" s="22">
        <v>11</v>
      </c>
      <c r="V115" s="22">
        <v>12</v>
      </c>
      <c r="W115" s="22">
        <v>1</v>
      </c>
      <c r="X115" s="22">
        <v>2</v>
      </c>
      <c r="Y115" s="22">
        <v>3</v>
      </c>
      <c r="Z115" s="22">
        <v>4</v>
      </c>
      <c r="AA115" s="22">
        <v>5</v>
      </c>
      <c r="AB115" s="22">
        <v>6</v>
      </c>
      <c r="AC115" s="22">
        <v>7</v>
      </c>
      <c r="AD115" s="22">
        <v>8</v>
      </c>
      <c r="AE115" s="22">
        <v>9</v>
      </c>
      <c r="AF115" s="22">
        <v>10</v>
      </c>
      <c r="AG115" s="22">
        <v>11</v>
      </c>
      <c r="AH115" s="22">
        <v>12</v>
      </c>
      <c r="AI115" s="22">
        <v>1</v>
      </c>
      <c r="AJ115" s="22">
        <v>2</v>
      </c>
      <c r="AK115" s="22">
        <v>3</v>
      </c>
      <c r="AL115" s="22">
        <v>4</v>
      </c>
      <c r="AM115" s="22">
        <v>5</v>
      </c>
      <c r="AN115" s="22">
        <v>6</v>
      </c>
      <c r="AO115" s="22">
        <v>7</v>
      </c>
      <c r="AP115" s="22">
        <v>8</v>
      </c>
    </row>
    <row r="116" spans="1:46" s="4" customFormat="1" x14ac:dyDescent="0.4">
      <c r="A116" s="9" t="str">
        <f t="shared" si="25"/>
        <v>Cliente 1</v>
      </c>
      <c r="C116" s="12"/>
      <c r="D116" s="12"/>
      <c r="E116" s="12"/>
    </row>
    <row r="117" spans="1:46" s="4" customFormat="1" x14ac:dyDescent="0.4">
      <c r="A117" s="9" t="str">
        <f t="shared" si="25"/>
        <v>Cliente 2</v>
      </c>
      <c r="C117" s="12"/>
      <c r="D117" s="12"/>
      <c r="E117" s="12"/>
    </row>
    <row r="118" spans="1:46" s="4" customFormat="1" x14ac:dyDescent="0.4">
      <c r="A118" s="9" t="str">
        <f t="shared" si="25"/>
        <v>Cliente 3</v>
      </c>
      <c r="C118" s="12"/>
      <c r="D118" s="12"/>
      <c r="E118" s="12"/>
      <c r="I118" s="8"/>
      <c r="J118" s="8"/>
      <c r="K118" s="8"/>
      <c r="Y118" s="4">
        <v>39652.550000000003</v>
      </c>
      <c r="AB118" s="4">
        <v>20750.490000000002</v>
      </c>
    </row>
    <row r="119" spans="1:46" s="1" customFormat="1" x14ac:dyDescent="0.4">
      <c r="A119" s="9" t="str">
        <f t="shared" si="25"/>
        <v>Cliente 4</v>
      </c>
      <c r="B119" s="10"/>
      <c r="C119" s="10"/>
      <c r="D119" s="13"/>
      <c r="E119" s="13"/>
      <c r="F119" s="10"/>
      <c r="G119" s="10"/>
      <c r="H119" s="11"/>
      <c r="I119" s="24"/>
      <c r="J119" s="24"/>
      <c r="K119" s="24"/>
      <c r="L119" s="11"/>
      <c r="M119" s="11"/>
      <c r="O119" s="4"/>
      <c r="R119" s="4"/>
      <c r="AF119" s="4">
        <f>690+1680</f>
        <v>2370</v>
      </c>
      <c r="AG119" s="4"/>
      <c r="AH119" s="4"/>
      <c r="AI119" s="4"/>
      <c r="AJ119" s="4"/>
    </row>
    <row r="120" spans="1:46" s="1" customFormat="1" x14ac:dyDescent="0.4">
      <c r="A120" s="9" t="str">
        <f t="shared" si="25"/>
        <v>Cliente 5</v>
      </c>
      <c r="B120" s="10"/>
      <c r="C120" s="13"/>
      <c r="D120" s="13"/>
      <c r="E120" s="13"/>
      <c r="F120" s="10"/>
      <c r="G120" s="10"/>
      <c r="H120" s="11"/>
      <c r="I120" s="24"/>
      <c r="J120" s="24"/>
      <c r="K120" s="24"/>
      <c r="L120" s="11"/>
      <c r="M120" s="11"/>
      <c r="O120" s="4"/>
      <c r="P120" s="4"/>
      <c r="AF120" s="4"/>
      <c r="AG120" s="4"/>
      <c r="AH120" s="4"/>
      <c r="AI120" s="4"/>
      <c r="AJ120" s="4"/>
    </row>
    <row r="121" spans="1:46" s="1" customFormat="1" x14ac:dyDescent="0.4">
      <c r="A121" s="9" t="str">
        <f t="shared" si="25"/>
        <v>Cliente 6</v>
      </c>
      <c r="B121" s="10"/>
      <c r="C121" s="14"/>
      <c r="D121" s="14"/>
      <c r="E121" s="13"/>
      <c r="F121" s="10"/>
      <c r="G121" s="10"/>
      <c r="H121" s="11"/>
      <c r="I121" s="24"/>
      <c r="J121" s="24"/>
      <c r="K121" s="24"/>
      <c r="L121" s="11"/>
      <c r="M121" s="11"/>
      <c r="O121" s="4"/>
      <c r="P121" s="4"/>
      <c r="Y121" s="4">
        <v>7545.6</v>
      </c>
      <c r="AF121" s="4"/>
      <c r="AG121" s="4"/>
      <c r="AH121" s="4"/>
      <c r="AI121" s="4"/>
      <c r="AJ121" s="4"/>
    </row>
    <row r="122" spans="1:46" s="1" customFormat="1" x14ac:dyDescent="0.4">
      <c r="A122" s="9" t="str">
        <f t="shared" si="25"/>
        <v>Cliente 7</v>
      </c>
      <c r="B122" s="10"/>
      <c r="C122" s="10"/>
      <c r="D122" s="13"/>
      <c r="E122" s="13"/>
      <c r="F122" s="10"/>
      <c r="G122" s="10"/>
      <c r="H122" s="11"/>
      <c r="I122" s="26"/>
      <c r="J122" s="24"/>
      <c r="K122" s="24"/>
      <c r="L122" s="11"/>
      <c r="M122" s="11"/>
      <c r="O122" s="4"/>
      <c r="P122" s="8"/>
      <c r="R122" s="4"/>
      <c r="AF122" s="4">
        <v>2640</v>
      </c>
      <c r="AG122" s="4"/>
      <c r="AH122" s="4"/>
      <c r="AI122" s="4"/>
      <c r="AJ122" s="4"/>
    </row>
    <row r="123" spans="1:46" s="1" customFormat="1" x14ac:dyDescent="0.4">
      <c r="A123" s="9" t="str">
        <f t="shared" si="25"/>
        <v>Cliente 8</v>
      </c>
      <c r="B123" s="10"/>
      <c r="C123" s="13"/>
      <c r="D123" s="13"/>
      <c r="E123" s="13"/>
      <c r="F123" s="10"/>
      <c r="G123" s="10"/>
      <c r="H123" s="11"/>
      <c r="I123" s="24"/>
      <c r="J123" s="26"/>
      <c r="K123" s="24"/>
      <c r="L123" s="26"/>
      <c r="M123" s="11"/>
      <c r="O123" s="4"/>
      <c r="AF123" s="4"/>
      <c r="AG123" s="4"/>
      <c r="AH123" s="4"/>
      <c r="AI123" s="4"/>
      <c r="AJ123" s="4"/>
    </row>
    <row r="124" spans="1:46" s="1" customFormat="1" x14ac:dyDescent="0.4">
      <c r="A124" s="9" t="str">
        <f t="shared" si="25"/>
        <v>Cliente 9</v>
      </c>
      <c r="B124" s="10"/>
      <c r="C124" s="10"/>
      <c r="D124" s="12"/>
      <c r="E124" s="12"/>
      <c r="F124" s="13"/>
      <c r="G124" s="10"/>
      <c r="H124" s="10"/>
      <c r="I124" s="8"/>
      <c r="J124" s="24"/>
      <c r="K124" s="24"/>
      <c r="L124" s="26"/>
      <c r="M124" s="11"/>
      <c r="O124" s="4"/>
      <c r="S124" s="4">
        <v>24720</v>
      </c>
      <c r="AF124" s="4">
        <v>3948</v>
      </c>
      <c r="AG124" s="4"/>
      <c r="AH124" s="4"/>
      <c r="AI124" s="4"/>
      <c r="AJ124" s="4"/>
    </row>
    <row r="125" spans="1:46" s="1" customFormat="1" x14ac:dyDescent="0.4">
      <c r="A125" s="9" t="str">
        <f t="shared" si="25"/>
        <v>Cliente 10</v>
      </c>
      <c r="B125" s="9"/>
      <c r="C125" s="10"/>
      <c r="D125" s="12"/>
      <c r="E125" s="14"/>
      <c r="F125" s="10"/>
      <c r="G125" s="10"/>
      <c r="H125" s="10"/>
      <c r="I125" s="8"/>
      <c r="J125" s="26"/>
      <c r="K125" s="24"/>
      <c r="L125" s="26"/>
      <c r="M125" s="11"/>
      <c r="O125" s="4"/>
      <c r="P125" s="8"/>
      <c r="R125" s="4"/>
      <c r="Y125" s="8">
        <f>53898.75</f>
        <v>53898.75</v>
      </c>
      <c r="AB125" s="4">
        <f>10803.73+21607.5+10803.73</f>
        <v>43214.96</v>
      </c>
      <c r="AD125" s="4">
        <f>71252.56+8207.6</f>
        <v>79460.160000000003</v>
      </c>
      <c r="AF125" s="4">
        <f>7661.48+17974.09</f>
        <v>25635.57</v>
      </c>
      <c r="AG125" s="4"/>
      <c r="AH125" s="4"/>
      <c r="AI125" s="4"/>
      <c r="AJ125" s="4"/>
    </row>
    <row r="126" spans="1:46" s="1" customFormat="1" x14ac:dyDescent="0.4">
      <c r="A126" s="9" t="str">
        <f t="shared" si="25"/>
        <v>Cliente 11</v>
      </c>
      <c r="B126" s="9"/>
      <c r="C126" s="10"/>
      <c r="D126" s="13"/>
      <c r="E126" s="13"/>
      <c r="F126" s="10"/>
      <c r="G126" s="10"/>
      <c r="H126" s="11"/>
      <c r="I126" s="24"/>
      <c r="J126" s="24"/>
      <c r="K126" s="24"/>
      <c r="L126" s="26"/>
      <c r="M126" s="11"/>
      <c r="O126" s="4"/>
      <c r="AF126" s="4"/>
      <c r="AG126" s="4"/>
      <c r="AH126" s="4"/>
      <c r="AI126" s="4"/>
      <c r="AJ126" s="4"/>
    </row>
    <row r="127" spans="1:46" s="1" customFormat="1" x14ac:dyDescent="0.4">
      <c r="A127" s="9" t="str">
        <f t="shared" si="25"/>
        <v>Cliente 12</v>
      </c>
      <c r="B127" s="9"/>
      <c r="C127" s="10"/>
      <c r="D127" s="13"/>
      <c r="E127" s="10"/>
      <c r="F127" s="10"/>
      <c r="G127" s="10"/>
      <c r="H127" s="11"/>
      <c r="I127" s="24"/>
      <c r="J127" s="24"/>
      <c r="K127" s="24"/>
      <c r="L127" s="26"/>
      <c r="M127" s="11"/>
      <c r="O127" s="4"/>
      <c r="P127" s="4"/>
      <c r="R127" s="4"/>
      <c r="AF127" s="4">
        <v>3600</v>
      </c>
      <c r="AG127" s="4"/>
      <c r="AH127" s="4"/>
      <c r="AI127" s="4"/>
      <c r="AJ127" s="4"/>
    </row>
    <row r="128" spans="1:46" s="1" customFormat="1" x14ac:dyDescent="0.4">
      <c r="A128" s="9" t="str">
        <f t="shared" si="25"/>
        <v>Cliente 13</v>
      </c>
      <c r="B128" s="9"/>
      <c r="C128" s="10"/>
      <c r="D128" s="13"/>
      <c r="E128" s="10"/>
      <c r="F128" s="10"/>
      <c r="G128" s="10"/>
      <c r="H128" s="11"/>
      <c r="I128" s="24"/>
      <c r="J128" s="24"/>
      <c r="K128" s="24"/>
      <c r="L128" s="11"/>
      <c r="M128" s="11"/>
      <c r="O128" s="4"/>
      <c r="Y128" s="4">
        <v>1224</v>
      </c>
      <c r="AF128" s="4">
        <v>1752</v>
      </c>
      <c r="AG128" s="4"/>
      <c r="AH128" s="4"/>
      <c r="AI128" s="4"/>
      <c r="AJ128" s="4"/>
    </row>
    <row r="129" spans="1:55" s="1" customFormat="1" x14ac:dyDescent="0.4">
      <c r="A129" s="9" t="str">
        <f t="shared" si="25"/>
        <v>Cliente 14</v>
      </c>
      <c r="B129" s="9"/>
      <c r="C129" s="10"/>
      <c r="D129" s="13"/>
      <c r="E129" s="10"/>
      <c r="F129" s="10"/>
      <c r="G129" s="10"/>
      <c r="H129" s="11"/>
      <c r="I129" s="26"/>
      <c r="J129" s="24"/>
      <c r="K129" s="24"/>
      <c r="L129" s="11"/>
      <c r="M129" s="11"/>
      <c r="Q129" s="4"/>
      <c r="AF129" s="4">
        <f>3100*3</f>
        <v>9300</v>
      </c>
      <c r="AG129" s="4"/>
      <c r="AH129" s="4"/>
      <c r="AI129" s="4"/>
      <c r="AJ129" s="4"/>
    </row>
    <row r="130" spans="1:55" s="1" customFormat="1" x14ac:dyDescent="0.4">
      <c r="A130" s="9" t="str">
        <f t="shared" si="25"/>
        <v>Cliente 15</v>
      </c>
      <c r="B130" s="9"/>
      <c r="C130" s="10"/>
      <c r="D130" s="13"/>
      <c r="E130" s="10"/>
      <c r="F130" s="10"/>
      <c r="G130" s="10"/>
      <c r="H130" s="11"/>
      <c r="I130" s="24"/>
      <c r="J130" s="26"/>
      <c r="K130" s="24"/>
      <c r="L130" s="11"/>
      <c r="M130" s="11"/>
      <c r="AF130" s="4"/>
      <c r="AG130" s="4"/>
      <c r="AH130" s="4"/>
      <c r="AI130" s="4"/>
      <c r="AJ130" s="4"/>
    </row>
    <row r="131" spans="1:55" s="1" customFormat="1" x14ac:dyDescent="0.4">
      <c r="A131" s="9" t="str">
        <f t="shared" si="25"/>
        <v>Cliente 16</v>
      </c>
      <c r="B131" s="9"/>
      <c r="C131" s="10"/>
      <c r="D131" s="13"/>
      <c r="E131" s="10"/>
      <c r="F131" s="10"/>
      <c r="G131" s="10"/>
      <c r="H131" s="11"/>
      <c r="I131" s="11"/>
      <c r="J131" s="11"/>
      <c r="K131" s="11"/>
      <c r="L131" s="11"/>
      <c r="M131" s="11"/>
      <c r="O131" s="4"/>
      <c r="AF131" s="4"/>
      <c r="AG131" s="4"/>
      <c r="AH131" s="4"/>
      <c r="AI131" s="4"/>
      <c r="AJ131" s="4"/>
    </row>
    <row r="132" spans="1:55" s="1" customFormat="1" x14ac:dyDescent="0.4">
      <c r="A132" s="9" t="str">
        <f t="shared" si="25"/>
        <v>Cliente 17</v>
      </c>
      <c r="B132" s="9"/>
      <c r="C132" s="10"/>
      <c r="D132" s="13"/>
      <c r="E132" s="10"/>
      <c r="F132" s="10"/>
      <c r="G132" s="10"/>
      <c r="H132" s="11"/>
      <c r="I132" s="11"/>
      <c r="J132" s="11"/>
      <c r="K132" s="11"/>
      <c r="L132" s="11"/>
      <c r="M132" s="11"/>
      <c r="O132" s="4"/>
      <c r="AF132" s="4"/>
      <c r="AG132" s="4"/>
      <c r="AH132" s="4"/>
      <c r="AI132" s="4"/>
      <c r="AJ132" s="4"/>
    </row>
    <row r="133" spans="1:55" s="1" customFormat="1" x14ac:dyDescent="0.4">
      <c r="A133" s="9" t="str">
        <f t="shared" si="25"/>
        <v>Cliente 18</v>
      </c>
      <c r="B133" s="9"/>
      <c r="C133" s="10"/>
      <c r="D133" s="13"/>
      <c r="E133" s="10"/>
      <c r="F133" s="10"/>
      <c r="G133" s="10"/>
      <c r="H133" s="11"/>
      <c r="I133" s="11"/>
      <c r="J133" s="11"/>
      <c r="K133" s="11"/>
      <c r="L133" s="11"/>
      <c r="M133" s="11"/>
      <c r="O133" s="4"/>
      <c r="Y133" s="4">
        <v>11200.8</v>
      </c>
      <c r="AF133" s="4">
        <f>2116.78+5531.86</f>
        <v>7648.6399999999994</v>
      </c>
      <c r="AG133" s="4"/>
      <c r="AH133" s="4"/>
      <c r="AI133" s="4"/>
      <c r="AJ133" s="4"/>
    </row>
    <row r="134" spans="1:55" s="1" customFormat="1" x14ac:dyDescent="0.4">
      <c r="A134" s="9" t="str">
        <f t="shared" si="25"/>
        <v>Cliente 19</v>
      </c>
      <c r="B134" s="9"/>
      <c r="C134" s="10"/>
      <c r="D134" s="13"/>
      <c r="E134" s="10"/>
      <c r="F134" s="10"/>
      <c r="G134" s="10"/>
      <c r="H134" s="11"/>
      <c r="I134" s="11"/>
      <c r="J134" s="11"/>
      <c r="K134" s="11"/>
      <c r="L134" s="11"/>
      <c r="M134" s="11"/>
      <c r="O134" s="4"/>
      <c r="AF134" s="4"/>
      <c r="AG134" s="4"/>
      <c r="AH134" s="4"/>
      <c r="AI134" s="4"/>
      <c r="AJ134" s="4"/>
    </row>
    <row r="135" spans="1:55" s="1" customFormat="1" x14ac:dyDescent="0.4">
      <c r="A135" s="9" t="str">
        <f t="shared" si="25"/>
        <v>Cliente 20</v>
      </c>
      <c r="B135" s="9"/>
      <c r="C135" s="10"/>
      <c r="D135" s="13"/>
      <c r="E135" s="10"/>
      <c r="F135" s="10"/>
      <c r="G135" s="10"/>
      <c r="H135" s="11"/>
      <c r="I135" s="11"/>
      <c r="J135" s="11"/>
      <c r="K135" s="11"/>
      <c r="L135" s="11"/>
      <c r="M135" s="11"/>
      <c r="O135" s="4"/>
      <c r="AF135" s="4"/>
      <c r="AG135" s="4"/>
      <c r="AH135" s="4"/>
      <c r="AI135" s="4"/>
      <c r="AJ135" s="4"/>
    </row>
    <row r="136" spans="1:55" s="1" customFormat="1" x14ac:dyDescent="0.4">
      <c r="A136" s="9" t="str">
        <f t="shared" si="25"/>
        <v>Cliente 21</v>
      </c>
      <c r="B136" s="9"/>
      <c r="C136" s="10"/>
      <c r="D136" s="13"/>
      <c r="E136" s="10"/>
      <c r="F136" s="10"/>
      <c r="G136" s="10"/>
      <c r="H136" s="11"/>
      <c r="I136" s="11"/>
      <c r="J136" s="11"/>
      <c r="K136" s="11"/>
      <c r="L136" s="11"/>
      <c r="M136" s="11"/>
      <c r="O136" s="4"/>
      <c r="AF136" s="4"/>
      <c r="AG136" s="4"/>
      <c r="AH136" s="4"/>
      <c r="AI136" s="4"/>
      <c r="AJ136" s="4"/>
    </row>
    <row r="137" spans="1:55" s="1" customFormat="1" x14ac:dyDescent="0.4">
      <c r="A137" s="9" t="str">
        <f t="shared" si="25"/>
        <v>Cliente 22</v>
      </c>
      <c r="B137" s="9"/>
      <c r="C137" s="10"/>
      <c r="D137" s="13"/>
      <c r="E137" s="10"/>
      <c r="F137" s="10"/>
      <c r="G137" s="10"/>
      <c r="H137" s="11"/>
      <c r="I137" s="11"/>
      <c r="J137" s="11"/>
      <c r="K137" s="11"/>
      <c r="L137" s="11"/>
      <c r="M137" s="11"/>
      <c r="O137" s="4"/>
      <c r="AB137" s="4">
        <v>5806.08</v>
      </c>
      <c r="AF137" s="4"/>
      <c r="AG137" s="4"/>
      <c r="AH137" s="4"/>
      <c r="AI137" s="4"/>
      <c r="AJ137" s="4"/>
    </row>
    <row r="138" spans="1:55" s="1" customFormat="1" x14ac:dyDescent="0.4">
      <c r="A138" s="9" t="str">
        <f t="shared" si="25"/>
        <v>Cliente 23</v>
      </c>
      <c r="B138" s="9"/>
      <c r="C138" s="10"/>
      <c r="D138" s="13"/>
      <c r="E138" s="10"/>
      <c r="F138" s="10"/>
      <c r="G138" s="10"/>
      <c r="H138" s="11"/>
      <c r="I138" s="11"/>
      <c r="J138" s="11"/>
      <c r="K138" s="11"/>
      <c r="L138" s="11"/>
      <c r="M138" s="11"/>
      <c r="O138" s="4"/>
      <c r="AB138" s="4"/>
      <c r="AF138" s="4">
        <v>12000</v>
      </c>
      <c r="AG138" s="4"/>
      <c r="AH138" s="4"/>
      <c r="AI138" s="4"/>
      <c r="AJ138" s="4"/>
    </row>
    <row r="139" spans="1:55" s="18" customFormat="1" x14ac:dyDescent="0.4">
      <c r="A139" s="17" t="s">
        <v>45</v>
      </c>
      <c r="B139" s="1">
        <f t="shared" ref="B139:K139" si="26">SUM(B116:B131)</f>
        <v>0</v>
      </c>
      <c r="C139" s="1">
        <f t="shared" si="26"/>
        <v>0</v>
      </c>
      <c r="D139" s="1">
        <f t="shared" si="26"/>
        <v>0</v>
      </c>
      <c r="E139" s="1">
        <f t="shared" si="26"/>
        <v>0</v>
      </c>
      <c r="F139" s="1">
        <f t="shared" si="26"/>
        <v>0</v>
      </c>
      <c r="G139" s="1">
        <f t="shared" si="26"/>
        <v>0</v>
      </c>
      <c r="H139" s="1">
        <f t="shared" si="26"/>
        <v>0</v>
      </c>
      <c r="I139" s="1">
        <f t="shared" si="26"/>
        <v>0</v>
      </c>
      <c r="J139" s="1">
        <f t="shared" si="26"/>
        <v>0</v>
      </c>
      <c r="K139" s="1">
        <f t="shared" si="26"/>
        <v>0</v>
      </c>
      <c r="L139" s="1">
        <f t="shared" ref="L139:U139" si="27">SUM(L116:L132)</f>
        <v>0</v>
      </c>
      <c r="M139" s="1">
        <f t="shared" si="27"/>
        <v>0</v>
      </c>
      <c r="N139" s="1">
        <f t="shared" si="27"/>
        <v>0</v>
      </c>
      <c r="O139" s="1">
        <f t="shared" si="27"/>
        <v>0</v>
      </c>
      <c r="P139" s="1">
        <f t="shared" si="27"/>
        <v>0</v>
      </c>
      <c r="Q139" s="1">
        <f t="shared" si="27"/>
        <v>0</v>
      </c>
      <c r="R139" s="1">
        <f t="shared" si="27"/>
        <v>0</v>
      </c>
      <c r="S139" s="1">
        <f t="shared" si="27"/>
        <v>24720</v>
      </c>
      <c r="T139" s="1">
        <f t="shared" si="27"/>
        <v>0</v>
      </c>
      <c r="U139" s="1">
        <f t="shared" si="27"/>
        <v>0</v>
      </c>
      <c r="V139" s="1">
        <f t="shared" ref="V139:AA139" si="28">SUM(V116:V136)</f>
        <v>0</v>
      </c>
      <c r="W139" s="1">
        <f t="shared" si="28"/>
        <v>0</v>
      </c>
      <c r="X139" s="1">
        <f t="shared" si="28"/>
        <v>0</v>
      </c>
      <c r="Y139" s="1">
        <f t="shared" si="28"/>
        <v>113521.7</v>
      </c>
      <c r="Z139" s="1">
        <f t="shared" si="28"/>
        <v>0</v>
      </c>
      <c r="AA139" s="1">
        <f t="shared" si="28"/>
        <v>0</v>
      </c>
      <c r="AB139" s="1">
        <f t="shared" ref="AB139:AJ139" si="29">SUM(AB116:AB138)</f>
        <v>69771.53</v>
      </c>
      <c r="AC139" s="1">
        <f t="shared" si="29"/>
        <v>0</v>
      </c>
      <c r="AD139" s="1">
        <f t="shared" si="29"/>
        <v>79460.160000000003</v>
      </c>
      <c r="AE139" s="1">
        <f t="shared" si="29"/>
        <v>0</v>
      </c>
      <c r="AF139" s="1">
        <f t="shared" si="29"/>
        <v>68894.209999999992</v>
      </c>
      <c r="AG139" s="1">
        <f t="shared" si="29"/>
        <v>0</v>
      </c>
      <c r="AH139" s="1">
        <f t="shared" si="29"/>
        <v>0</v>
      </c>
      <c r="AI139" s="1">
        <f t="shared" si="29"/>
        <v>0</v>
      </c>
      <c r="AJ139" s="1">
        <f t="shared" si="29"/>
        <v>0</v>
      </c>
      <c r="AK139" s="1">
        <f>SUM(AK116:AK138)</f>
        <v>0</v>
      </c>
      <c r="AL139" s="1">
        <f>SUM(AL116:AL138)</f>
        <v>0</v>
      </c>
      <c r="AM139" s="1">
        <f t="shared" ref="AM139:AN139" si="30">SUM(AM116:AM138)</f>
        <v>0</v>
      </c>
      <c r="AN139" s="1">
        <f t="shared" si="30"/>
        <v>0</v>
      </c>
      <c r="AO139" s="1">
        <f t="shared" ref="AO139" si="31">SUM(AO116:AO138)</f>
        <v>0</v>
      </c>
      <c r="AP139" s="1">
        <f t="shared" ref="AP139" si="32">SUM(AP116:AP138)</f>
        <v>0</v>
      </c>
    </row>
    <row r="140" spans="1:55" s="1" customFormat="1" x14ac:dyDescent="0.4">
      <c r="A140" s="9"/>
      <c r="B140" s="9"/>
      <c r="C140" s="10"/>
      <c r="D140" s="13"/>
      <c r="E140" s="10"/>
      <c r="F140" s="10"/>
      <c r="G140" s="10"/>
      <c r="H140" s="11"/>
      <c r="I140" s="11"/>
      <c r="J140" s="11"/>
      <c r="K140" s="11"/>
      <c r="L140" s="11"/>
      <c r="M140" s="11"/>
    </row>
    <row r="142" spans="1:55" s="41" customFormat="1" x14ac:dyDescent="0.4">
      <c r="A142" s="40" t="s">
        <v>61</v>
      </c>
      <c r="C142" s="42" t="s">
        <v>53</v>
      </c>
      <c r="D142" s="42" t="s">
        <v>53</v>
      </c>
      <c r="E142" s="42" t="s">
        <v>53</v>
      </c>
      <c r="F142" s="42" t="s">
        <v>53</v>
      </c>
      <c r="G142" s="42" t="s">
        <v>53</v>
      </c>
      <c r="H142" s="42" t="s">
        <v>53</v>
      </c>
      <c r="I142" s="42" t="s">
        <v>53</v>
      </c>
      <c r="J142" s="42" t="s">
        <v>53</v>
      </c>
      <c r="K142" s="42" t="s">
        <v>53</v>
      </c>
      <c r="L142" s="42" t="s">
        <v>53</v>
      </c>
      <c r="M142" s="42" t="s">
        <v>53</v>
      </c>
      <c r="N142" s="42" t="s">
        <v>53</v>
      </c>
      <c r="O142" s="42" t="s">
        <v>53</v>
      </c>
      <c r="P142" s="42" t="s">
        <v>53</v>
      </c>
      <c r="Q142" s="42" t="s">
        <v>53</v>
      </c>
      <c r="R142" s="42" t="s">
        <v>53</v>
      </c>
      <c r="S142" s="42" t="s">
        <v>53</v>
      </c>
      <c r="T142" s="42" t="s">
        <v>53</v>
      </c>
      <c r="U142" s="42" t="s">
        <v>53</v>
      </c>
      <c r="V142" s="42" t="s">
        <v>53</v>
      </c>
      <c r="W142" s="41" t="str">
        <f t="shared" ref="W142:BC142" si="33">+W114</f>
        <v>Consuntivato</v>
      </c>
      <c r="X142" s="41" t="str">
        <f t="shared" si="33"/>
        <v>Consuntivato</v>
      </c>
      <c r="Y142" s="41" t="str">
        <f t="shared" si="33"/>
        <v>Consuntivato</v>
      </c>
      <c r="Z142" s="47" t="str">
        <f t="shared" si="33"/>
        <v>Consuntivato</v>
      </c>
      <c r="AA142" s="47" t="str">
        <f t="shared" si="33"/>
        <v>Consuntivato</v>
      </c>
      <c r="AB142" s="47" t="str">
        <f t="shared" si="33"/>
        <v>Consuntivato</v>
      </c>
      <c r="AC142" s="47" t="str">
        <f t="shared" si="33"/>
        <v>Consuntivato</v>
      </c>
      <c r="AD142" s="47" t="str">
        <f t="shared" si="33"/>
        <v>Consuntivato</v>
      </c>
      <c r="AE142" s="47" t="str">
        <f t="shared" si="33"/>
        <v>Consuntivato</v>
      </c>
      <c r="AF142" s="47" t="str">
        <f t="shared" si="33"/>
        <v>Consuntivato</v>
      </c>
      <c r="AG142" s="47">
        <f t="shared" si="33"/>
        <v>0</v>
      </c>
      <c r="AH142" s="47">
        <f t="shared" si="33"/>
        <v>0</v>
      </c>
      <c r="AI142" s="47">
        <f t="shared" si="33"/>
        <v>0</v>
      </c>
      <c r="AJ142" s="47">
        <f t="shared" si="33"/>
        <v>0</v>
      </c>
      <c r="AK142" s="41">
        <f t="shared" si="33"/>
        <v>0</v>
      </c>
      <c r="AL142" s="41">
        <f t="shared" si="33"/>
        <v>0</v>
      </c>
      <c r="AM142" s="41">
        <f t="shared" si="33"/>
        <v>0</v>
      </c>
      <c r="AN142" s="41">
        <f t="shared" si="33"/>
        <v>0</v>
      </c>
      <c r="AO142" s="41">
        <f t="shared" si="33"/>
        <v>0</v>
      </c>
      <c r="AP142" s="41">
        <f t="shared" si="33"/>
        <v>0</v>
      </c>
      <c r="AQ142" s="41">
        <f t="shared" si="33"/>
        <v>0</v>
      </c>
      <c r="AR142" s="41">
        <f t="shared" si="33"/>
        <v>0</v>
      </c>
      <c r="AS142" s="41">
        <f t="shared" si="33"/>
        <v>0</v>
      </c>
      <c r="AT142" s="41">
        <f t="shared" si="33"/>
        <v>0</v>
      </c>
      <c r="AU142" s="41">
        <f t="shared" si="33"/>
        <v>0</v>
      </c>
      <c r="AV142" s="41">
        <f t="shared" si="33"/>
        <v>0</v>
      </c>
      <c r="AW142" s="41">
        <f t="shared" si="33"/>
        <v>0</v>
      </c>
      <c r="AX142" s="41">
        <f t="shared" si="33"/>
        <v>0</v>
      </c>
      <c r="AY142" s="41">
        <f t="shared" si="33"/>
        <v>0</v>
      </c>
      <c r="AZ142" s="41">
        <f t="shared" si="33"/>
        <v>0</v>
      </c>
      <c r="BA142" s="41">
        <f t="shared" si="33"/>
        <v>0</v>
      </c>
      <c r="BB142" s="41">
        <f t="shared" si="33"/>
        <v>0</v>
      </c>
      <c r="BC142" s="41">
        <f t="shared" si="33"/>
        <v>0</v>
      </c>
    </row>
    <row r="143" spans="1:55" s="15" customFormat="1" ht="15" x14ac:dyDescent="0.5">
      <c r="A143" s="16">
        <f t="shared" ref="A143:A166" si="34">+A115</f>
        <v>2019</v>
      </c>
      <c r="B143" s="2">
        <v>4</v>
      </c>
      <c r="C143" s="2">
        <v>5</v>
      </c>
      <c r="D143" s="2">
        <v>6</v>
      </c>
      <c r="E143" s="2">
        <v>7</v>
      </c>
      <c r="F143" s="2">
        <v>8</v>
      </c>
      <c r="G143" s="2">
        <v>9</v>
      </c>
      <c r="H143" s="2">
        <v>10</v>
      </c>
      <c r="I143" s="2">
        <v>11</v>
      </c>
      <c r="J143" s="2">
        <v>12</v>
      </c>
      <c r="K143" s="22">
        <v>1</v>
      </c>
      <c r="L143" s="22">
        <v>2</v>
      </c>
      <c r="M143" s="22">
        <v>3</v>
      </c>
      <c r="N143" s="22">
        <v>4</v>
      </c>
      <c r="O143" s="22">
        <v>5</v>
      </c>
      <c r="P143" s="22">
        <v>6</v>
      </c>
      <c r="Q143" s="22">
        <v>7</v>
      </c>
      <c r="R143" s="22">
        <v>8</v>
      </c>
      <c r="S143" s="22">
        <v>9</v>
      </c>
      <c r="T143" s="22">
        <v>10</v>
      </c>
      <c r="U143" s="22">
        <v>11</v>
      </c>
      <c r="V143" s="22">
        <v>12</v>
      </c>
      <c r="W143" s="22">
        <v>1</v>
      </c>
      <c r="X143" s="22">
        <v>2</v>
      </c>
      <c r="Y143" s="22">
        <v>3</v>
      </c>
      <c r="Z143" s="22">
        <v>4</v>
      </c>
      <c r="AA143" s="22">
        <v>5</v>
      </c>
      <c r="AB143" s="22">
        <v>6</v>
      </c>
      <c r="AC143" s="22">
        <v>7</v>
      </c>
      <c r="AD143" s="22">
        <v>8</v>
      </c>
      <c r="AE143" s="22">
        <v>9</v>
      </c>
      <c r="AF143" s="22">
        <v>10</v>
      </c>
      <c r="AG143" s="22">
        <v>11</v>
      </c>
      <c r="AH143" s="22">
        <v>12</v>
      </c>
      <c r="AI143" s="22">
        <v>1</v>
      </c>
      <c r="AJ143" s="22">
        <v>2</v>
      </c>
      <c r="AK143" s="22">
        <v>3</v>
      </c>
      <c r="AL143" s="22">
        <v>4</v>
      </c>
      <c r="AM143" s="22">
        <v>5</v>
      </c>
      <c r="AN143" s="22">
        <v>6</v>
      </c>
      <c r="AO143" s="22">
        <v>7</v>
      </c>
      <c r="AP143" s="22">
        <v>8</v>
      </c>
    </row>
    <row r="144" spans="1:55" s="4" customFormat="1" x14ac:dyDescent="0.4">
      <c r="A144" s="9" t="str">
        <f t="shared" si="34"/>
        <v>Cliente 1</v>
      </c>
    </row>
    <row r="145" spans="1:37" s="4" customFormat="1" x14ac:dyDescent="0.4">
      <c r="A145" s="9" t="str">
        <f t="shared" si="34"/>
        <v>Cliente 2</v>
      </c>
    </row>
    <row r="146" spans="1:37" s="4" customFormat="1" x14ac:dyDescent="0.4">
      <c r="A146" s="9" t="str">
        <f t="shared" si="34"/>
        <v>Cliente 3</v>
      </c>
      <c r="K146" s="8"/>
      <c r="L146" s="8"/>
      <c r="M146" s="8"/>
      <c r="N146" s="8"/>
      <c r="O146" s="8"/>
      <c r="AC146" s="4">
        <f>+Y118</f>
        <v>39652.550000000003</v>
      </c>
      <c r="AF146" s="4">
        <v>20750.490000000002</v>
      </c>
    </row>
    <row r="147" spans="1:37" s="1" customFormat="1" x14ac:dyDescent="0.4">
      <c r="A147" s="9" t="str">
        <f t="shared" si="34"/>
        <v>Cliente 4</v>
      </c>
      <c r="B147" s="10"/>
      <c r="C147" s="10"/>
      <c r="D147" s="10"/>
      <c r="E147" s="10"/>
      <c r="F147" s="10"/>
      <c r="G147" s="10"/>
      <c r="H147" s="25"/>
      <c r="I147" s="25"/>
      <c r="J147" s="25"/>
      <c r="K147" s="26"/>
      <c r="L147" s="26"/>
      <c r="M147" s="24"/>
      <c r="N147" s="5"/>
      <c r="O147" s="8"/>
      <c r="P147" s="4"/>
      <c r="Q147" s="4"/>
      <c r="R147" s="4"/>
      <c r="T147" s="4"/>
      <c r="AF147" s="4"/>
      <c r="AG147" s="4"/>
      <c r="AH147" s="4">
        <v>690</v>
      </c>
      <c r="AI147" s="4">
        <v>1680</v>
      </c>
      <c r="AJ147" s="4"/>
      <c r="AK147" s="4"/>
    </row>
    <row r="148" spans="1:37" s="1" customFormat="1" x14ac:dyDescent="0.4">
      <c r="A148" s="9" t="str">
        <f t="shared" si="34"/>
        <v>Cliente 5</v>
      </c>
      <c r="B148" s="10"/>
      <c r="C148" s="10"/>
      <c r="D148" s="10"/>
      <c r="E148" s="10"/>
      <c r="F148" s="10"/>
      <c r="G148" s="10"/>
      <c r="H148" s="25"/>
      <c r="I148" s="25"/>
      <c r="J148" s="25"/>
      <c r="K148" s="26"/>
      <c r="L148" s="26"/>
      <c r="M148" s="24"/>
      <c r="N148" s="5"/>
      <c r="O148" s="8"/>
      <c r="P148" s="4"/>
      <c r="Q148" s="4"/>
      <c r="R148" s="4"/>
      <c r="S148" s="4"/>
      <c r="AF148" s="4"/>
      <c r="AG148" s="4"/>
      <c r="AH148" s="4"/>
      <c r="AI148" s="4"/>
      <c r="AJ148" s="4"/>
      <c r="AK148" s="4"/>
    </row>
    <row r="149" spans="1:37" s="1" customFormat="1" x14ac:dyDescent="0.4">
      <c r="A149" s="9" t="str">
        <f t="shared" si="34"/>
        <v>Cliente 6</v>
      </c>
      <c r="B149" s="10"/>
      <c r="E149" s="10"/>
      <c r="F149" s="10"/>
      <c r="G149" s="10"/>
      <c r="H149" s="25"/>
      <c r="I149" s="25"/>
      <c r="J149" s="25"/>
      <c r="K149" s="26"/>
      <c r="L149" s="26"/>
      <c r="M149" s="24"/>
      <c r="N149" s="5"/>
      <c r="O149" s="8"/>
      <c r="P149" s="4"/>
      <c r="Q149" s="4"/>
      <c r="R149" s="4"/>
      <c r="S149" s="4"/>
      <c r="AB149" s="4">
        <f>+Y121</f>
        <v>7545.6</v>
      </c>
      <c r="AF149" s="4"/>
      <c r="AG149" s="4"/>
      <c r="AH149" s="4"/>
      <c r="AI149" s="4"/>
      <c r="AJ149" s="4"/>
      <c r="AK149" s="4"/>
    </row>
    <row r="150" spans="1:37" s="1" customFormat="1" x14ac:dyDescent="0.4">
      <c r="A150" s="9" t="str">
        <f t="shared" si="34"/>
        <v>Cliente 7</v>
      </c>
      <c r="B150" s="10"/>
      <c r="C150" s="4"/>
      <c r="D150" s="10"/>
      <c r="E150" s="10"/>
      <c r="F150" s="10"/>
      <c r="G150" s="10"/>
      <c r="H150" s="25"/>
      <c r="I150" s="25"/>
      <c r="J150" s="25"/>
      <c r="K150" s="26"/>
      <c r="L150" s="26"/>
      <c r="M150" s="26"/>
      <c r="N150" s="5"/>
      <c r="O150" s="8"/>
      <c r="P150" s="4"/>
      <c r="Q150" s="4"/>
      <c r="R150" s="4"/>
      <c r="T150" s="4"/>
      <c r="U150" s="4"/>
      <c r="AF150" s="4"/>
      <c r="AG150" s="4"/>
      <c r="AH150" s="4"/>
      <c r="AI150" s="4">
        <v>2640</v>
      </c>
      <c r="AJ150" s="4"/>
      <c r="AK150" s="4"/>
    </row>
    <row r="151" spans="1:37" s="1" customFormat="1" x14ac:dyDescent="0.4">
      <c r="A151" s="9" t="str">
        <f t="shared" si="34"/>
        <v>Cliente 8</v>
      </c>
      <c r="B151" s="10"/>
      <c r="C151" s="10"/>
      <c r="D151" s="10"/>
      <c r="E151" s="10"/>
      <c r="F151" s="10"/>
      <c r="G151" s="10"/>
      <c r="H151" s="25"/>
      <c r="I151" s="25"/>
      <c r="J151" s="25"/>
      <c r="K151" s="26"/>
      <c r="L151" s="5"/>
      <c r="M151" s="26"/>
      <c r="N151" s="8"/>
      <c r="O151" s="26"/>
      <c r="P151" s="4"/>
      <c r="Q151" s="4"/>
      <c r="R151" s="4"/>
      <c r="AF151" s="4"/>
      <c r="AG151" s="4"/>
      <c r="AH151" s="4"/>
      <c r="AI151" s="4"/>
      <c r="AJ151" s="4"/>
      <c r="AK151" s="4"/>
    </row>
    <row r="152" spans="1:37" s="1" customFormat="1" x14ac:dyDescent="0.4">
      <c r="A152" s="9" t="str">
        <f t="shared" si="34"/>
        <v>Cliente 9</v>
      </c>
      <c r="B152" s="10"/>
      <c r="C152" s="10"/>
      <c r="D152" s="4"/>
      <c r="E152" s="4"/>
      <c r="F152" s="10"/>
      <c r="G152" s="10"/>
      <c r="H152" s="10"/>
      <c r="I152" s="10"/>
      <c r="J152" s="25"/>
      <c r="K152" s="26"/>
      <c r="L152" s="26"/>
      <c r="M152" s="24"/>
      <c r="N152" s="8"/>
      <c r="O152" s="8"/>
      <c r="P152" s="4"/>
      <c r="Q152" s="4"/>
      <c r="R152" s="4"/>
      <c r="V152" s="4">
        <f>+S124</f>
        <v>24720</v>
      </c>
      <c r="AF152" s="4"/>
      <c r="AG152" s="4"/>
      <c r="AH152" s="4">
        <v>3948</v>
      </c>
      <c r="AI152" s="4"/>
      <c r="AJ152" s="4"/>
      <c r="AK152" s="4"/>
    </row>
    <row r="153" spans="1:37" s="1" customFormat="1" x14ac:dyDescent="0.4">
      <c r="A153" s="9" t="str">
        <f t="shared" si="34"/>
        <v>Cliente 10</v>
      </c>
      <c r="B153" s="9"/>
      <c r="C153" s="10"/>
      <c r="D153" s="4"/>
      <c r="E153" s="4"/>
      <c r="F153" s="10"/>
      <c r="G153" s="10"/>
      <c r="H153" s="10"/>
      <c r="I153" s="25"/>
      <c r="J153" s="25"/>
      <c r="K153" s="26"/>
      <c r="L153" s="26"/>
      <c r="M153" s="26"/>
      <c r="N153" s="8"/>
      <c r="O153" s="8"/>
      <c r="P153" s="4"/>
      <c r="Q153" s="4"/>
      <c r="R153" s="4"/>
      <c r="T153" s="8"/>
      <c r="AB153" s="4">
        <f>+$Y$125/3</f>
        <v>17966.25</v>
      </c>
      <c r="AC153" s="4">
        <f>+$Y$125/3</f>
        <v>17966.25</v>
      </c>
      <c r="AD153" s="4">
        <v>0</v>
      </c>
      <c r="AE153" s="4">
        <f>+$AB$125/4+8983.12</f>
        <v>19786.86</v>
      </c>
      <c r="AF153" s="4">
        <f>+$AB$125/2+8983.13</f>
        <v>30590.61</v>
      </c>
      <c r="AG153" s="4">
        <f>+$AB$125/4</f>
        <v>10803.74</v>
      </c>
      <c r="AH153" s="4">
        <f>+AD125</f>
        <v>79460.160000000003</v>
      </c>
      <c r="AI153" s="4"/>
      <c r="AJ153" s="4">
        <v>7661.48</v>
      </c>
      <c r="AK153" s="4">
        <v>17974.09</v>
      </c>
    </row>
    <row r="154" spans="1:37" s="1" customFormat="1" x14ac:dyDescent="0.4">
      <c r="A154" s="9" t="str">
        <f t="shared" si="34"/>
        <v>Cliente 11</v>
      </c>
      <c r="B154" s="9"/>
      <c r="C154" s="10"/>
      <c r="D154" s="10"/>
      <c r="E154" s="10"/>
      <c r="F154" s="10"/>
      <c r="G154" s="10"/>
      <c r="H154" s="25"/>
      <c r="I154" s="25"/>
      <c r="J154" s="25"/>
      <c r="K154" s="26"/>
      <c r="L154" s="26"/>
      <c r="M154" s="24"/>
      <c r="N154" s="8"/>
      <c r="O154" s="8"/>
      <c r="P154" s="4"/>
      <c r="Q154" s="4"/>
      <c r="R154" s="4"/>
      <c r="AF154" s="4"/>
      <c r="AG154" s="4"/>
      <c r="AH154" s="4"/>
      <c r="AI154" s="4"/>
      <c r="AJ154" s="4"/>
      <c r="AK154" s="4"/>
    </row>
    <row r="155" spans="1:37" s="1" customFormat="1" x14ac:dyDescent="0.4">
      <c r="A155" s="9" t="str">
        <f t="shared" si="34"/>
        <v>Cliente 12</v>
      </c>
      <c r="B155" s="9"/>
      <c r="C155" s="10"/>
      <c r="D155" s="10"/>
      <c r="E155" s="10"/>
      <c r="F155" s="10"/>
      <c r="G155" s="10"/>
      <c r="H155" s="25"/>
      <c r="I155" s="25"/>
      <c r="J155" s="25"/>
      <c r="K155" s="26"/>
      <c r="L155" s="26"/>
      <c r="M155" s="24"/>
      <c r="N155" s="26"/>
      <c r="O155" s="8"/>
      <c r="P155" s="4"/>
      <c r="Q155" s="4"/>
      <c r="R155" s="4"/>
      <c r="S155" s="4"/>
      <c r="AF155" s="4"/>
      <c r="AG155" s="4"/>
      <c r="AH155" s="4">
        <v>3600</v>
      </c>
      <c r="AI155" s="4"/>
      <c r="AJ155" s="4"/>
      <c r="AK155" s="4"/>
    </row>
    <row r="156" spans="1:37" s="1" customFormat="1" x14ac:dyDescent="0.4">
      <c r="A156" s="9" t="str">
        <f t="shared" si="34"/>
        <v>Cliente 13</v>
      </c>
      <c r="B156" s="9"/>
      <c r="C156" s="10"/>
      <c r="D156" s="10"/>
      <c r="E156" s="10"/>
      <c r="F156" s="10"/>
      <c r="G156" s="10"/>
      <c r="H156" s="25"/>
      <c r="I156" s="25"/>
      <c r="J156" s="25"/>
      <c r="K156" s="26"/>
      <c r="L156" s="26"/>
      <c r="M156" s="24"/>
      <c r="N156" s="8"/>
      <c r="O156" s="8"/>
      <c r="P156" s="4"/>
      <c r="Q156" s="4"/>
      <c r="R156" s="4"/>
      <c r="AA156" s="4">
        <f>+Y128</f>
        <v>1224</v>
      </c>
      <c r="AF156" s="4"/>
      <c r="AG156" s="4"/>
      <c r="AH156" s="4">
        <v>1752</v>
      </c>
      <c r="AI156" s="4"/>
      <c r="AJ156" s="4"/>
      <c r="AK156" s="4"/>
    </row>
    <row r="157" spans="1:37" s="1" customFormat="1" x14ac:dyDescent="0.4">
      <c r="A157" s="9" t="str">
        <f t="shared" si="34"/>
        <v>Cliente 14</v>
      </c>
      <c r="B157" s="9"/>
      <c r="C157" s="10"/>
      <c r="D157" s="10"/>
      <c r="E157" s="10"/>
      <c r="F157" s="10"/>
      <c r="G157" s="10"/>
      <c r="H157" s="25"/>
      <c r="I157" s="25"/>
      <c r="J157" s="25"/>
      <c r="K157" s="26"/>
      <c r="L157" s="26"/>
      <c r="M157" s="26"/>
      <c r="N157" s="26"/>
      <c r="O157" s="8"/>
      <c r="P157" s="4"/>
      <c r="Q157" s="4"/>
      <c r="R157" s="4"/>
      <c r="T157" s="4"/>
      <c r="AF157" s="4"/>
      <c r="AG157" s="4"/>
      <c r="AH157" s="4">
        <v>3100</v>
      </c>
      <c r="AI157" s="4">
        <v>3100</v>
      </c>
      <c r="AJ157" s="4">
        <v>3100</v>
      </c>
      <c r="AK157" s="4"/>
    </row>
    <row r="158" spans="1:37" s="1" customFormat="1" x14ac:dyDescent="0.4">
      <c r="A158" s="9" t="str">
        <f t="shared" si="34"/>
        <v>Cliente 15</v>
      </c>
      <c r="B158" s="9"/>
      <c r="C158" s="10"/>
      <c r="D158" s="10"/>
      <c r="E158" s="10"/>
      <c r="F158" s="10"/>
      <c r="G158" s="10"/>
      <c r="H158" s="25"/>
      <c r="I158" s="25"/>
      <c r="J158" s="25"/>
      <c r="K158" s="26"/>
      <c r="L158" s="5"/>
      <c r="M158" s="26"/>
      <c r="N158" s="26"/>
      <c r="O158" s="8"/>
      <c r="P158" s="4"/>
      <c r="Q158" s="4"/>
      <c r="R158" s="4"/>
      <c r="AF158" s="4"/>
      <c r="AG158" s="4"/>
      <c r="AH158" s="4"/>
      <c r="AI158" s="4"/>
      <c r="AJ158" s="4"/>
      <c r="AK158" s="4"/>
    </row>
    <row r="159" spans="1:37" s="1" customFormat="1" x14ac:dyDescent="0.4">
      <c r="A159" s="9" t="str">
        <f t="shared" si="34"/>
        <v>Cliente 16</v>
      </c>
      <c r="B159" s="9"/>
      <c r="C159" s="10"/>
      <c r="D159" s="10"/>
      <c r="E159" s="10"/>
      <c r="F159" s="10"/>
      <c r="G159" s="10"/>
      <c r="H159" s="11"/>
      <c r="I159" s="11"/>
      <c r="J159" s="11"/>
      <c r="K159" s="11"/>
      <c r="L159" s="11"/>
      <c r="M159" s="11"/>
      <c r="O159" s="4"/>
      <c r="P159" s="4"/>
      <c r="Q159" s="4"/>
      <c r="R159" s="4"/>
      <c r="AF159" s="4"/>
      <c r="AG159" s="4"/>
      <c r="AH159" s="4"/>
      <c r="AI159" s="4"/>
      <c r="AJ159" s="4"/>
      <c r="AK159" s="4"/>
    </row>
    <row r="160" spans="1:37" s="1" customFormat="1" x14ac:dyDescent="0.4">
      <c r="A160" s="9" t="str">
        <f t="shared" si="34"/>
        <v>Cliente 17</v>
      </c>
      <c r="B160" s="9"/>
      <c r="C160" s="10"/>
      <c r="D160" s="10"/>
      <c r="E160" s="10"/>
      <c r="F160" s="10"/>
      <c r="G160" s="10"/>
      <c r="H160" s="11"/>
      <c r="I160" s="11"/>
      <c r="J160" s="11"/>
      <c r="K160" s="11"/>
      <c r="L160" s="11"/>
      <c r="M160" s="11"/>
      <c r="O160" s="4"/>
      <c r="P160" s="4"/>
      <c r="Q160" s="4"/>
      <c r="R160" s="4"/>
      <c r="AF160" s="4"/>
      <c r="AG160" s="4"/>
      <c r="AH160" s="4"/>
      <c r="AI160" s="4"/>
      <c r="AJ160" s="4"/>
      <c r="AK160" s="4"/>
    </row>
    <row r="161" spans="1:46" s="1" customFormat="1" x14ac:dyDescent="0.4">
      <c r="A161" s="9" t="str">
        <f t="shared" si="34"/>
        <v>Cliente 18</v>
      </c>
      <c r="B161" s="9"/>
      <c r="C161" s="10"/>
      <c r="D161" s="10"/>
      <c r="E161" s="10"/>
      <c r="F161" s="10"/>
      <c r="G161" s="10"/>
      <c r="H161" s="11"/>
      <c r="I161" s="11"/>
      <c r="J161" s="11"/>
      <c r="K161" s="11"/>
      <c r="L161" s="11"/>
      <c r="M161" s="11"/>
      <c r="O161" s="4"/>
      <c r="P161" s="4"/>
      <c r="Q161" s="4"/>
      <c r="R161" s="4"/>
      <c r="AA161" s="4">
        <f>+$Y$133/2</f>
        <v>5600.4</v>
      </c>
      <c r="AB161" s="4">
        <f>+$Y$133/2</f>
        <v>5600.4</v>
      </c>
      <c r="AF161" s="4"/>
      <c r="AG161" s="4"/>
      <c r="AH161" s="4">
        <v>2116.7800000000002</v>
      </c>
      <c r="AI161" s="4">
        <v>5531.86</v>
      </c>
      <c r="AJ161" s="4"/>
      <c r="AK161" s="4"/>
    </row>
    <row r="162" spans="1:46" s="1" customFormat="1" x14ac:dyDescent="0.4">
      <c r="A162" s="9" t="str">
        <f t="shared" si="34"/>
        <v>Cliente 19</v>
      </c>
      <c r="B162" s="9"/>
      <c r="C162" s="10"/>
      <c r="D162" s="10"/>
      <c r="E162" s="10"/>
      <c r="F162" s="10"/>
      <c r="G162" s="10"/>
      <c r="H162" s="11"/>
      <c r="I162" s="11"/>
      <c r="J162" s="11"/>
      <c r="K162" s="11"/>
      <c r="L162" s="11"/>
      <c r="M162" s="11"/>
      <c r="O162" s="4"/>
      <c r="P162" s="4"/>
      <c r="Q162" s="4"/>
      <c r="R162" s="4"/>
      <c r="AF162" s="4"/>
      <c r="AG162" s="4"/>
      <c r="AH162" s="4"/>
      <c r="AI162" s="4"/>
      <c r="AJ162" s="4"/>
      <c r="AK162" s="4"/>
    </row>
    <row r="163" spans="1:46" s="1" customFormat="1" x14ac:dyDescent="0.4">
      <c r="A163" s="9" t="str">
        <f t="shared" si="34"/>
        <v>Cliente 20</v>
      </c>
      <c r="B163" s="9"/>
      <c r="C163" s="10"/>
      <c r="D163" s="10"/>
      <c r="E163" s="10"/>
      <c r="F163" s="10"/>
      <c r="G163" s="10"/>
      <c r="H163" s="11"/>
      <c r="I163" s="11"/>
      <c r="J163" s="11"/>
      <c r="K163" s="11"/>
      <c r="L163" s="11"/>
      <c r="M163" s="11"/>
      <c r="O163" s="4"/>
      <c r="P163" s="4"/>
      <c r="Q163" s="4"/>
      <c r="R163" s="4"/>
      <c r="AF163" s="4"/>
      <c r="AG163" s="4"/>
      <c r="AH163" s="4"/>
      <c r="AI163" s="4"/>
      <c r="AJ163" s="4"/>
      <c r="AK163" s="4"/>
    </row>
    <row r="164" spans="1:46" s="1" customFormat="1" x14ac:dyDescent="0.4">
      <c r="A164" s="9" t="str">
        <f t="shared" si="34"/>
        <v>Cliente 21</v>
      </c>
      <c r="B164" s="9"/>
      <c r="C164" s="10"/>
      <c r="D164" s="10"/>
      <c r="E164" s="10"/>
      <c r="F164" s="10"/>
      <c r="G164" s="10"/>
      <c r="H164" s="11"/>
      <c r="I164" s="11"/>
      <c r="J164" s="11"/>
      <c r="K164" s="11"/>
      <c r="L164" s="11"/>
      <c r="M164" s="11"/>
      <c r="O164" s="4"/>
      <c r="P164" s="4"/>
      <c r="Q164" s="4"/>
      <c r="R164" s="4"/>
      <c r="AF164" s="4"/>
      <c r="AG164" s="4"/>
      <c r="AH164" s="4"/>
      <c r="AI164" s="4"/>
      <c r="AJ164" s="4"/>
      <c r="AK164" s="4"/>
    </row>
    <row r="165" spans="1:46" s="1" customFormat="1" x14ac:dyDescent="0.4">
      <c r="A165" s="9" t="str">
        <f t="shared" si="34"/>
        <v>Cliente 22</v>
      </c>
      <c r="B165" s="9"/>
      <c r="C165" s="10"/>
      <c r="D165" s="10"/>
      <c r="E165" s="10"/>
      <c r="F165" s="10"/>
      <c r="G165" s="10"/>
      <c r="H165" s="11"/>
      <c r="I165" s="11"/>
      <c r="J165" s="11"/>
      <c r="K165" s="11"/>
      <c r="L165" s="11"/>
      <c r="M165" s="11"/>
      <c r="O165" s="4"/>
      <c r="P165" s="4"/>
      <c r="Q165" s="4"/>
      <c r="R165" s="4"/>
      <c r="AE165" s="4">
        <f>+AB137</f>
        <v>5806.08</v>
      </c>
      <c r="AF165" s="4"/>
      <c r="AG165" s="4"/>
      <c r="AH165" s="4"/>
      <c r="AI165" s="4"/>
      <c r="AJ165" s="4"/>
      <c r="AK165" s="4"/>
    </row>
    <row r="166" spans="1:46" s="1" customFormat="1" x14ac:dyDescent="0.4">
      <c r="A166" s="9" t="str">
        <f t="shared" si="34"/>
        <v>Cliente 23</v>
      </c>
      <c r="B166" s="9"/>
      <c r="C166" s="10"/>
      <c r="D166" s="10"/>
      <c r="E166" s="10"/>
      <c r="F166" s="10"/>
      <c r="G166" s="10"/>
      <c r="H166" s="11"/>
      <c r="I166" s="11"/>
      <c r="J166" s="11"/>
      <c r="K166" s="11"/>
      <c r="L166" s="11"/>
      <c r="M166" s="11"/>
      <c r="O166" s="4"/>
      <c r="P166" s="4"/>
      <c r="Q166" s="4"/>
      <c r="R166" s="4"/>
      <c r="AE166" s="4"/>
      <c r="AF166" s="4"/>
      <c r="AG166" s="4"/>
      <c r="AH166" s="4">
        <v>12000</v>
      </c>
      <c r="AI166" s="4"/>
      <c r="AJ166" s="4"/>
      <c r="AK166" s="4"/>
    </row>
    <row r="167" spans="1:46" s="18" customFormat="1" x14ac:dyDescent="0.4">
      <c r="A167" s="17" t="s">
        <v>45</v>
      </c>
      <c r="B167" s="1">
        <f t="shared" ref="B167:J167" si="35">SUM(B144:B159)</f>
        <v>0</v>
      </c>
      <c r="C167" s="1">
        <f t="shared" si="35"/>
        <v>0</v>
      </c>
      <c r="D167" s="1">
        <f t="shared" si="35"/>
        <v>0</v>
      </c>
      <c r="E167" s="1">
        <f t="shared" si="35"/>
        <v>0</v>
      </c>
      <c r="F167" s="1">
        <f t="shared" si="35"/>
        <v>0</v>
      </c>
      <c r="G167" s="1">
        <f t="shared" si="35"/>
        <v>0</v>
      </c>
      <c r="H167" s="1">
        <f t="shared" si="35"/>
        <v>0</v>
      </c>
      <c r="I167" s="1">
        <f t="shared" si="35"/>
        <v>0</v>
      </c>
      <c r="J167" s="1">
        <f t="shared" si="35"/>
        <v>0</v>
      </c>
      <c r="K167" s="1">
        <f t="shared" ref="K167:U167" si="36">SUM(K144:K160)</f>
        <v>0</v>
      </c>
      <c r="L167" s="1">
        <f t="shared" si="36"/>
        <v>0</v>
      </c>
      <c r="M167" s="1">
        <f t="shared" si="36"/>
        <v>0</v>
      </c>
      <c r="N167" s="1">
        <f t="shared" si="36"/>
        <v>0</v>
      </c>
      <c r="O167" s="1">
        <f t="shared" si="36"/>
        <v>0</v>
      </c>
      <c r="P167" s="1">
        <f t="shared" si="36"/>
        <v>0</v>
      </c>
      <c r="Q167" s="1">
        <f t="shared" si="36"/>
        <v>0</v>
      </c>
      <c r="R167" s="1">
        <f t="shared" si="36"/>
        <v>0</v>
      </c>
      <c r="S167" s="1">
        <f t="shared" si="36"/>
        <v>0</v>
      </c>
      <c r="T167" s="1">
        <f t="shared" si="36"/>
        <v>0</v>
      </c>
      <c r="U167" s="1">
        <f t="shared" si="36"/>
        <v>0</v>
      </c>
      <c r="V167" s="1">
        <f t="shared" ref="V167:AA167" si="37">SUM(V144:V164)</f>
        <v>24720</v>
      </c>
      <c r="W167" s="1">
        <f t="shared" si="37"/>
        <v>0</v>
      </c>
      <c r="X167" s="1">
        <f t="shared" si="37"/>
        <v>0</v>
      </c>
      <c r="Y167" s="1">
        <f t="shared" si="37"/>
        <v>0</v>
      </c>
      <c r="Z167" s="1">
        <f t="shared" si="37"/>
        <v>0</v>
      </c>
      <c r="AA167" s="1">
        <f t="shared" si="37"/>
        <v>6824.4</v>
      </c>
      <c r="AB167" s="1">
        <f t="shared" ref="AB167:AP167" si="38">SUM(AB144:AB166)</f>
        <v>31112.25</v>
      </c>
      <c r="AC167" s="1">
        <f t="shared" si="38"/>
        <v>57618.8</v>
      </c>
      <c r="AD167" s="1">
        <f t="shared" si="38"/>
        <v>0</v>
      </c>
      <c r="AE167" s="1">
        <f t="shared" si="38"/>
        <v>25592.940000000002</v>
      </c>
      <c r="AF167" s="1">
        <f t="shared" si="38"/>
        <v>51341.100000000006</v>
      </c>
      <c r="AG167" s="1">
        <f t="shared" si="38"/>
        <v>10803.74</v>
      </c>
      <c r="AH167" s="1">
        <f>SUM(AH144:AH166)</f>
        <v>106666.94</v>
      </c>
      <c r="AI167" s="1">
        <f t="shared" si="38"/>
        <v>12951.86</v>
      </c>
      <c r="AJ167" s="1">
        <f t="shared" si="38"/>
        <v>10761.48</v>
      </c>
      <c r="AK167" s="1">
        <f t="shared" si="38"/>
        <v>17974.09</v>
      </c>
      <c r="AL167" s="1">
        <f t="shared" si="38"/>
        <v>0</v>
      </c>
      <c r="AM167" s="1">
        <f t="shared" si="38"/>
        <v>0</v>
      </c>
      <c r="AN167" s="1">
        <f t="shared" si="38"/>
        <v>0</v>
      </c>
      <c r="AO167" s="1">
        <f t="shared" si="38"/>
        <v>0</v>
      </c>
      <c r="AP167" s="1">
        <f t="shared" si="38"/>
        <v>0</v>
      </c>
    </row>
    <row r="170" spans="1:46" s="49" customFormat="1" x14ac:dyDescent="0.4">
      <c r="A170" s="48" t="s">
        <v>67</v>
      </c>
      <c r="C170" s="50" t="s">
        <v>53</v>
      </c>
      <c r="D170" s="50" t="s">
        <v>53</v>
      </c>
      <c r="E170" s="50" t="s">
        <v>53</v>
      </c>
      <c r="F170" s="50" t="s">
        <v>53</v>
      </c>
      <c r="G170" s="50" t="s">
        <v>53</v>
      </c>
      <c r="H170" s="50" t="s">
        <v>53</v>
      </c>
      <c r="I170" s="50" t="s">
        <v>53</v>
      </c>
      <c r="J170" s="50" t="s">
        <v>53</v>
      </c>
      <c r="K170" s="50" t="s">
        <v>53</v>
      </c>
      <c r="L170" s="50" t="s">
        <v>53</v>
      </c>
      <c r="M170" s="50" t="s">
        <v>53</v>
      </c>
      <c r="N170" s="50" t="s">
        <v>53</v>
      </c>
      <c r="O170" s="50" t="s">
        <v>53</v>
      </c>
      <c r="P170" s="50" t="s">
        <v>53</v>
      </c>
      <c r="Q170" s="50" t="s">
        <v>53</v>
      </c>
      <c r="R170" s="50" t="s">
        <v>53</v>
      </c>
      <c r="S170" s="50" t="s">
        <v>53</v>
      </c>
      <c r="T170" s="50" t="s">
        <v>53</v>
      </c>
      <c r="U170" s="50" t="s">
        <v>53</v>
      </c>
      <c r="V170" s="50" t="s">
        <v>53</v>
      </c>
      <c r="W170" s="49" t="str">
        <f t="shared" ref="W170:AT170" si="39">+W142</f>
        <v>Consuntivato</v>
      </c>
      <c r="X170" s="49" t="str">
        <f t="shared" si="39"/>
        <v>Consuntivato</v>
      </c>
      <c r="Y170" s="49" t="str">
        <f t="shared" si="39"/>
        <v>Consuntivato</v>
      </c>
      <c r="Z170" s="51" t="str">
        <f t="shared" si="39"/>
        <v>Consuntivato</v>
      </c>
      <c r="AA170" s="51" t="str">
        <f t="shared" si="39"/>
        <v>Consuntivato</v>
      </c>
      <c r="AB170" s="51" t="str">
        <f t="shared" si="39"/>
        <v>Consuntivato</v>
      </c>
      <c r="AC170" s="51" t="str">
        <f t="shared" si="39"/>
        <v>Consuntivato</v>
      </c>
      <c r="AD170" s="51" t="str">
        <f t="shared" si="39"/>
        <v>Consuntivato</v>
      </c>
      <c r="AE170" s="51" t="str">
        <f t="shared" si="39"/>
        <v>Consuntivato</v>
      </c>
      <c r="AF170" s="51" t="str">
        <f t="shared" si="39"/>
        <v>Consuntivato</v>
      </c>
      <c r="AG170" s="51">
        <f t="shared" si="39"/>
        <v>0</v>
      </c>
      <c r="AH170" s="51">
        <f t="shared" si="39"/>
        <v>0</v>
      </c>
      <c r="AI170" s="51">
        <f t="shared" si="39"/>
        <v>0</v>
      </c>
      <c r="AJ170" s="49">
        <f t="shared" si="39"/>
        <v>0</v>
      </c>
      <c r="AK170" s="49">
        <f t="shared" si="39"/>
        <v>0</v>
      </c>
      <c r="AL170" s="49">
        <f t="shared" si="39"/>
        <v>0</v>
      </c>
      <c r="AM170" s="49">
        <f t="shared" si="39"/>
        <v>0</v>
      </c>
      <c r="AN170" s="49">
        <f t="shared" si="39"/>
        <v>0</v>
      </c>
      <c r="AO170" s="49">
        <f t="shared" si="39"/>
        <v>0</v>
      </c>
      <c r="AP170" s="49">
        <f t="shared" si="39"/>
        <v>0</v>
      </c>
      <c r="AQ170" s="49">
        <f t="shared" si="39"/>
        <v>0</v>
      </c>
      <c r="AR170" s="49">
        <f t="shared" si="39"/>
        <v>0</v>
      </c>
      <c r="AS170" s="49">
        <f t="shared" si="39"/>
        <v>0</v>
      </c>
      <c r="AT170" s="49">
        <f t="shared" si="39"/>
        <v>0</v>
      </c>
    </row>
    <row r="171" spans="1:46" s="15" customFormat="1" ht="15" x14ac:dyDescent="0.5">
      <c r="A171" s="16">
        <f t="shared" ref="A171:A194" si="40">+A143</f>
        <v>2019</v>
      </c>
      <c r="B171" s="2">
        <v>4</v>
      </c>
      <c r="C171" s="2">
        <v>5</v>
      </c>
      <c r="D171" s="2">
        <v>6</v>
      </c>
      <c r="E171" s="2">
        <v>7</v>
      </c>
      <c r="F171" s="2">
        <v>8</v>
      </c>
      <c r="G171" s="2">
        <v>9</v>
      </c>
      <c r="H171" s="2">
        <v>10</v>
      </c>
      <c r="I171" s="2">
        <v>11</v>
      </c>
      <c r="J171" s="2">
        <v>12</v>
      </c>
      <c r="K171" s="22">
        <v>1</v>
      </c>
      <c r="L171" s="22">
        <v>2</v>
      </c>
      <c r="M171" s="22">
        <v>3</v>
      </c>
      <c r="N171" s="22">
        <v>4</v>
      </c>
      <c r="O171" s="22">
        <v>5</v>
      </c>
      <c r="P171" s="22">
        <v>6</v>
      </c>
      <c r="Q171" s="22">
        <v>7</v>
      </c>
      <c r="R171" s="22">
        <v>8</v>
      </c>
      <c r="S171" s="22">
        <v>9</v>
      </c>
      <c r="T171" s="22">
        <v>10</v>
      </c>
      <c r="U171" s="22">
        <v>11</v>
      </c>
      <c r="V171" s="22">
        <v>12</v>
      </c>
      <c r="W171" s="22">
        <v>1</v>
      </c>
      <c r="X171" s="22">
        <v>2</v>
      </c>
      <c r="Y171" s="22">
        <v>3</v>
      </c>
      <c r="Z171" s="22">
        <v>4</v>
      </c>
      <c r="AA171" s="22">
        <v>5</v>
      </c>
      <c r="AB171" s="22">
        <v>6</v>
      </c>
      <c r="AC171" s="22">
        <v>7</v>
      </c>
      <c r="AD171" s="22">
        <v>8</v>
      </c>
      <c r="AE171" s="22">
        <v>9</v>
      </c>
      <c r="AF171" s="22">
        <v>10</v>
      </c>
      <c r="AG171" s="22">
        <v>11</v>
      </c>
      <c r="AH171" s="22">
        <v>12</v>
      </c>
      <c r="AI171" s="22">
        <v>1</v>
      </c>
      <c r="AJ171" s="22">
        <v>2</v>
      </c>
      <c r="AK171" s="22">
        <v>3</v>
      </c>
      <c r="AL171" s="22">
        <v>4</v>
      </c>
      <c r="AM171" s="22">
        <v>5</v>
      </c>
      <c r="AN171" s="22">
        <v>6</v>
      </c>
      <c r="AO171" s="22">
        <v>7</v>
      </c>
      <c r="AP171" s="22">
        <v>8</v>
      </c>
    </row>
    <row r="172" spans="1:46" s="4" customFormat="1" x14ac:dyDescent="0.4">
      <c r="A172" s="9" t="str">
        <f t="shared" si="40"/>
        <v>Cliente 1</v>
      </c>
      <c r="C172" s="12"/>
      <c r="D172" s="12"/>
      <c r="E172" s="12"/>
    </row>
    <row r="173" spans="1:46" s="4" customFormat="1" x14ac:dyDescent="0.4">
      <c r="A173" s="9" t="str">
        <f t="shared" si="40"/>
        <v>Cliente 2</v>
      </c>
      <c r="C173" s="12"/>
      <c r="D173" s="12"/>
      <c r="E173" s="12"/>
      <c r="AJ173" s="4">
        <v>55000</v>
      </c>
      <c r="AK173" s="4">
        <v>55000</v>
      </c>
      <c r="AL173" s="4">
        <v>55000</v>
      </c>
    </row>
    <row r="174" spans="1:46" s="4" customFormat="1" x14ac:dyDescent="0.4">
      <c r="A174" s="9" t="str">
        <f t="shared" si="40"/>
        <v>Cliente 3</v>
      </c>
      <c r="C174" s="12"/>
      <c r="D174" s="12"/>
      <c r="E174" s="12"/>
      <c r="I174" s="8"/>
      <c r="J174" s="8"/>
      <c r="K174" s="8"/>
      <c r="AK174" s="4">
        <v>38000</v>
      </c>
    </row>
    <row r="175" spans="1:46" s="1" customFormat="1" x14ac:dyDescent="0.4">
      <c r="A175" s="9" t="str">
        <f t="shared" si="40"/>
        <v>Cliente 4</v>
      </c>
      <c r="B175" s="10"/>
      <c r="C175" s="10"/>
      <c r="D175" s="13"/>
      <c r="E175" s="13"/>
      <c r="F175" s="10"/>
      <c r="G175" s="10"/>
      <c r="H175" s="11"/>
      <c r="I175" s="24"/>
      <c r="J175" s="24"/>
      <c r="K175" s="24"/>
      <c r="L175" s="11"/>
      <c r="M175" s="11"/>
      <c r="O175" s="4"/>
      <c r="R175" s="4"/>
      <c r="AF175" s="4"/>
      <c r="AG175" s="4"/>
      <c r="AH175" s="4"/>
      <c r="AI175" s="4"/>
      <c r="AJ175" s="4"/>
      <c r="AL175" s="4">
        <v>44000</v>
      </c>
    </row>
    <row r="176" spans="1:46" s="1" customFormat="1" x14ac:dyDescent="0.4">
      <c r="A176" s="9" t="str">
        <f t="shared" si="40"/>
        <v>Cliente 5</v>
      </c>
      <c r="B176" s="10"/>
      <c r="C176" s="13"/>
      <c r="D176" s="13"/>
      <c r="E176" s="13"/>
      <c r="F176" s="10"/>
      <c r="G176" s="10"/>
      <c r="H176" s="11"/>
      <c r="I176" s="24"/>
      <c r="J176" s="24"/>
      <c r="K176" s="24"/>
      <c r="L176" s="11"/>
      <c r="M176" s="11"/>
      <c r="O176" s="4"/>
      <c r="P176" s="4"/>
      <c r="AF176" s="4"/>
      <c r="AG176" s="4"/>
      <c r="AH176" s="4"/>
      <c r="AI176" s="4"/>
      <c r="AJ176" s="4">
        <v>61000</v>
      </c>
      <c r="AK176" s="4">
        <v>70000</v>
      </c>
      <c r="AL176" s="4">
        <v>81500</v>
      </c>
    </row>
    <row r="177" spans="1:36" s="1" customFormat="1" x14ac:dyDescent="0.4">
      <c r="A177" s="9" t="str">
        <f t="shared" si="40"/>
        <v>Cliente 6</v>
      </c>
      <c r="B177" s="10"/>
      <c r="C177" s="14"/>
      <c r="D177" s="14"/>
      <c r="E177" s="13"/>
      <c r="F177" s="10"/>
      <c r="G177" s="10"/>
      <c r="H177" s="11"/>
      <c r="I177" s="24"/>
      <c r="J177" s="24"/>
      <c r="K177" s="24"/>
      <c r="L177" s="11"/>
      <c r="M177" s="11"/>
      <c r="O177" s="4"/>
      <c r="P177" s="4"/>
      <c r="Y177" s="4"/>
      <c r="AF177" s="4"/>
      <c r="AG177" s="4"/>
      <c r="AH177" s="4"/>
      <c r="AI177" s="4"/>
      <c r="AJ177" s="4"/>
    </row>
    <row r="178" spans="1:36" s="1" customFormat="1" x14ac:dyDescent="0.4">
      <c r="A178" s="9" t="str">
        <f t="shared" si="40"/>
        <v>Cliente 7</v>
      </c>
      <c r="B178" s="10"/>
      <c r="C178" s="10"/>
      <c r="D178" s="13"/>
      <c r="E178" s="13"/>
      <c r="F178" s="10"/>
      <c r="G178" s="10"/>
      <c r="H178" s="11"/>
      <c r="I178" s="26"/>
      <c r="J178" s="24"/>
      <c r="K178" s="24"/>
      <c r="L178" s="11"/>
      <c r="M178" s="11"/>
      <c r="O178" s="4"/>
      <c r="P178" s="8"/>
      <c r="R178" s="4"/>
      <c r="AF178" s="4"/>
      <c r="AG178" s="4"/>
      <c r="AH178" s="4"/>
      <c r="AI178" s="4"/>
      <c r="AJ178" s="4"/>
    </row>
    <row r="179" spans="1:36" s="1" customFormat="1" x14ac:dyDescent="0.4">
      <c r="A179" s="9" t="str">
        <f t="shared" si="40"/>
        <v>Cliente 8</v>
      </c>
      <c r="B179" s="10"/>
      <c r="C179" s="13"/>
      <c r="D179" s="13"/>
      <c r="E179" s="13"/>
      <c r="F179" s="10"/>
      <c r="G179" s="10"/>
      <c r="H179" s="11"/>
      <c r="I179" s="24"/>
      <c r="J179" s="26"/>
      <c r="K179" s="24"/>
      <c r="L179" s="26"/>
      <c r="M179" s="11"/>
      <c r="O179" s="4"/>
      <c r="AF179" s="4"/>
      <c r="AG179" s="4"/>
      <c r="AH179" s="4"/>
      <c r="AI179" s="4"/>
      <c r="AJ179" s="4"/>
    </row>
    <row r="180" spans="1:36" s="1" customFormat="1" x14ac:dyDescent="0.4">
      <c r="A180" s="9" t="str">
        <f t="shared" si="40"/>
        <v>Cliente 9</v>
      </c>
      <c r="B180" s="10"/>
      <c r="C180" s="10"/>
      <c r="D180" s="12"/>
      <c r="E180" s="12"/>
      <c r="F180" s="13"/>
      <c r="G180" s="10"/>
      <c r="H180" s="10"/>
      <c r="I180" s="8"/>
      <c r="J180" s="24"/>
      <c r="K180" s="24"/>
      <c r="L180" s="26"/>
      <c r="M180" s="11"/>
      <c r="O180" s="4"/>
      <c r="S180" s="4"/>
      <c r="AF180" s="4"/>
      <c r="AG180" s="4"/>
      <c r="AH180" s="4"/>
      <c r="AI180" s="4"/>
      <c r="AJ180" s="4"/>
    </row>
    <row r="181" spans="1:36" s="1" customFormat="1" x14ac:dyDescent="0.4">
      <c r="A181" s="9" t="str">
        <f t="shared" si="40"/>
        <v>Cliente 10</v>
      </c>
      <c r="B181" s="9"/>
      <c r="C181" s="10"/>
      <c r="D181" s="12"/>
      <c r="E181" s="14"/>
      <c r="F181" s="10"/>
      <c r="G181" s="10"/>
      <c r="H181" s="10"/>
      <c r="I181" s="8"/>
      <c r="J181" s="26"/>
      <c r="K181" s="24"/>
      <c r="L181" s="26"/>
      <c r="M181" s="11"/>
      <c r="O181" s="4"/>
      <c r="P181" s="8"/>
      <c r="R181" s="4"/>
      <c r="Y181" s="8"/>
      <c r="AB181" s="4"/>
      <c r="AD181" s="4"/>
      <c r="AF181" s="4"/>
      <c r="AG181" s="4"/>
      <c r="AH181" s="4"/>
      <c r="AI181" s="4"/>
      <c r="AJ181" s="4"/>
    </row>
    <row r="182" spans="1:36" s="1" customFormat="1" x14ac:dyDescent="0.4">
      <c r="A182" s="9" t="str">
        <f t="shared" si="40"/>
        <v>Cliente 11</v>
      </c>
      <c r="B182" s="9"/>
      <c r="C182" s="10"/>
      <c r="D182" s="13"/>
      <c r="E182" s="13"/>
      <c r="F182" s="10"/>
      <c r="G182" s="10"/>
      <c r="H182" s="11"/>
      <c r="I182" s="24"/>
      <c r="J182" s="24"/>
      <c r="K182" s="24"/>
      <c r="L182" s="26"/>
      <c r="M182" s="11"/>
      <c r="O182" s="4"/>
      <c r="AF182" s="4"/>
      <c r="AG182" s="4"/>
      <c r="AH182" s="4"/>
      <c r="AI182" s="4"/>
      <c r="AJ182" s="4"/>
    </row>
    <row r="183" spans="1:36" s="1" customFormat="1" x14ac:dyDescent="0.4">
      <c r="A183" s="9" t="str">
        <f t="shared" si="40"/>
        <v>Cliente 12</v>
      </c>
      <c r="B183" s="9"/>
      <c r="C183" s="10"/>
      <c r="D183" s="13"/>
      <c r="E183" s="10"/>
      <c r="F183" s="10"/>
      <c r="G183" s="10"/>
      <c r="H183" s="11"/>
      <c r="I183" s="24"/>
      <c r="J183" s="24"/>
      <c r="K183" s="24"/>
      <c r="L183" s="26"/>
      <c r="M183" s="11"/>
      <c r="O183" s="4"/>
      <c r="P183" s="4"/>
      <c r="R183" s="4"/>
      <c r="AF183" s="4"/>
      <c r="AG183" s="4"/>
      <c r="AH183" s="4"/>
      <c r="AI183" s="4"/>
      <c r="AJ183" s="4"/>
    </row>
    <row r="184" spans="1:36" s="1" customFormat="1" x14ac:dyDescent="0.4">
      <c r="A184" s="9" t="str">
        <f t="shared" si="40"/>
        <v>Cliente 13</v>
      </c>
      <c r="B184" s="9"/>
      <c r="C184" s="10"/>
      <c r="D184" s="13"/>
      <c r="E184" s="10"/>
      <c r="F184" s="10"/>
      <c r="G184" s="10"/>
      <c r="H184" s="11"/>
      <c r="I184" s="24"/>
      <c r="J184" s="24"/>
      <c r="K184" s="24"/>
      <c r="L184" s="11"/>
      <c r="M184" s="11"/>
      <c r="O184" s="4"/>
      <c r="Y184" s="4"/>
      <c r="AF184" s="4"/>
      <c r="AG184" s="4"/>
      <c r="AH184" s="4"/>
      <c r="AI184" s="4"/>
      <c r="AJ184" s="4"/>
    </row>
    <row r="185" spans="1:36" s="1" customFormat="1" x14ac:dyDescent="0.4">
      <c r="A185" s="9" t="str">
        <f t="shared" si="40"/>
        <v>Cliente 14</v>
      </c>
      <c r="B185" s="9"/>
      <c r="C185" s="10"/>
      <c r="D185" s="13"/>
      <c r="E185" s="10"/>
      <c r="F185" s="10"/>
      <c r="G185" s="10"/>
      <c r="H185" s="11"/>
      <c r="I185" s="26"/>
      <c r="J185" s="24"/>
      <c r="K185" s="24"/>
      <c r="L185" s="11"/>
      <c r="M185" s="11"/>
      <c r="Q185" s="4"/>
      <c r="AF185" s="4"/>
      <c r="AG185" s="4"/>
      <c r="AH185" s="4"/>
      <c r="AI185" s="4"/>
      <c r="AJ185" s="4"/>
    </row>
    <row r="186" spans="1:36" s="1" customFormat="1" x14ac:dyDescent="0.4">
      <c r="A186" s="9" t="str">
        <f t="shared" si="40"/>
        <v>Cliente 15</v>
      </c>
      <c r="B186" s="9"/>
      <c r="C186" s="10"/>
      <c r="D186" s="13"/>
      <c r="E186" s="10"/>
      <c r="F186" s="10"/>
      <c r="G186" s="10"/>
      <c r="H186" s="11"/>
      <c r="I186" s="24"/>
      <c r="J186" s="26"/>
      <c r="K186" s="24"/>
      <c r="L186" s="11"/>
      <c r="M186" s="11"/>
      <c r="AF186" s="4"/>
      <c r="AG186" s="4"/>
      <c r="AH186" s="4"/>
      <c r="AI186" s="4"/>
      <c r="AJ186" s="4"/>
    </row>
    <row r="187" spans="1:36" s="1" customFormat="1" x14ac:dyDescent="0.4">
      <c r="A187" s="9" t="str">
        <f t="shared" si="40"/>
        <v>Cliente 16</v>
      </c>
      <c r="B187" s="9"/>
      <c r="C187" s="10"/>
      <c r="D187" s="13"/>
      <c r="E187" s="10"/>
      <c r="F187" s="10"/>
      <c r="G187" s="10"/>
      <c r="H187" s="11"/>
      <c r="I187" s="11"/>
      <c r="J187" s="11"/>
      <c r="K187" s="11"/>
      <c r="L187" s="11"/>
      <c r="M187" s="11"/>
      <c r="O187" s="4"/>
      <c r="AF187" s="4"/>
      <c r="AG187" s="4"/>
      <c r="AH187" s="4"/>
      <c r="AI187" s="4"/>
      <c r="AJ187" s="4"/>
    </row>
    <row r="188" spans="1:36" s="1" customFormat="1" x14ac:dyDescent="0.4">
      <c r="A188" s="9" t="str">
        <f t="shared" si="40"/>
        <v>Cliente 17</v>
      </c>
      <c r="B188" s="9"/>
      <c r="C188" s="10"/>
      <c r="D188" s="13"/>
      <c r="E188" s="10"/>
      <c r="F188" s="10"/>
      <c r="G188" s="10"/>
      <c r="H188" s="11"/>
      <c r="I188" s="11"/>
      <c r="J188" s="11"/>
      <c r="K188" s="11"/>
      <c r="L188" s="11"/>
      <c r="M188" s="11"/>
      <c r="O188" s="4"/>
      <c r="AF188" s="4"/>
      <c r="AG188" s="4"/>
      <c r="AH188" s="4"/>
      <c r="AI188" s="4"/>
      <c r="AJ188" s="4"/>
    </row>
    <row r="189" spans="1:36" s="1" customFormat="1" x14ac:dyDescent="0.4">
      <c r="A189" s="9" t="str">
        <f t="shared" si="40"/>
        <v>Cliente 18</v>
      </c>
      <c r="B189" s="9"/>
      <c r="C189" s="10"/>
      <c r="D189" s="13"/>
      <c r="E189" s="10"/>
      <c r="F189" s="10"/>
      <c r="G189" s="10"/>
      <c r="H189" s="11"/>
      <c r="I189" s="11"/>
      <c r="J189" s="11"/>
      <c r="K189" s="11"/>
      <c r="L189" s="11"/>
      <c r="M189" s="11"/>
      <c r="O189" s="4"/>
      <c r="Y189" s="4"/>
      <c r="AF189" s="4"/>
      <c r="AG189" s="4"/>
      <c r="AH189" s="4"/>
      <c r="AI189" s="4"/>
      <c r="AJ189" s="4"/>
    </row>
    <row r="190" spans="1:36" s="1" customFormat="1" x14ac:dyDescent="0.4">
      <c r="A190" s="9" t="str">
        <f t="shared" si="40"/>
        <v>Cliente 19</v>
      </c>
      <c r="B190" s="9"/>
      <c r="C190" s="10"/>
      <c r="D190" s="13"/>
      <c r="E190" s="10"/>
      <c r="F190" s="10"/>
      <c r="G190" s="10"/>
      <c r="H190" s="11"/>
      <c r="I190" s="11"/>
      <c r="J190" s="11"/>
      <c r="K190" s="11"/>
      <c r="L190" s="11"/>
      <c r="M190" s="11"/>
      <c r="O190" s="4"/>
      <c r="AF190" s="4"/>
      <c r="AG190" s="4"/>
      <c r="AH190" s="4"/>
      <c r="AI190" s="4"/>
      <c r="AJ190" s="4"/>
    </row>
    <row r="191" spans="1:36" s="1" customFormat="1" x14ac:dyDescent="0.4">
      <c r="A191" s="9" t="str">
        <f t="shared" si="40"/>
        <v>Cliente 20</v>
      </c>
      <c r="B191" s="9"/>
      <c r="C191" s="10"/>
      <c r="D191" s="13"/>
      <c r="E191" s="10"/>
      <c r="F191" s="10"/>
      <c r="G191" s="10"/>
      <c r="H191" s="11"/>
      <c r="I191" s="11"/>
      <c r="J191" s="11"/>
      <c r="K191" s="11"/>
      <c r="L191" s="11"/>
      <c r="M191" s="11"/>
      <c r="O191" s="4"/>
      <c r="AF191" s="4"/>
      <c r="AG191" s="4"/>
      <c r="AH191" s="4"/>
      <c r="AI191" s="4"/>
      <c r="AJ191" s="4"/>
    </row>
    <row r="192" spans="1:36" s="1" customFormat="1" x14ac:dyDescent="0.4">
      <c r="A192" s="9" t="str">
        <f t="shared" si="40"/>
        <v>Cliente 21</v>
      </c>
      <c r="B192" s="9"/>
      <c r="C192" s="10"/>
      <c r="D192" s="13"/>
      <c r="E192" s="10"/>
      <c r="F192" s="10"/>
      <c r="G192" s="10"/>
      <c r="H192" s="11"/>
      <c r="I192" s="11"/>
      <c r="J192" s="11"/>
      <c r="K192" s="11"/>
      <c r="L192" s="11"/>
      <c r="M192" s="11"/>
      <c r="O192" s="4"/>
      <c r="AF192" s="4"/>
      <c r="AG192" s="4"/>
      <c r="AH192" s="4"/>
      <c r="AI192" s="4"/>
      <c r="AJ192" s="4"/>
    </row>
    <row r="193" spans="1:55" s="1" customFormat="1" x14ac:dyDescent="0.4">
      <c r="A193" s="9" t="str">
        <f t="shared" si="40"/>
        <v>Cliente 22</v>
      </c>
      <c r="B193" s="9"/>
      <c r="C193" s="10"/>
      <c r="D193" s="13"/>
      <c r="E193" s="10"/>
      <c r="F193" s="10"/>
      <c r="G193" s="10"/>
      <c r="H193" s="11"/>
      <c r="I193" s="11"/>
      <c r="J193" s="11"/>
      <c r="K193" s="11"/>
      <c r="L193" s="11"/>
      <c r="M193" s="11"/>
      <c r="O193" s="4"/>
      <c r="AB193" s="4"/>
      <c r="AF193" s="4"/>
      <c r="AG193" s="4"/>
      <c r="AH193" s="4"/>
      <c r="AI193" s="4"/>
      <c r="AJ193" s="4"/>
    </row>
    <row r="194" spans="1:55" s="1" customFormat="1" x14ac:dyDescent="0.4">
      <c r="A194" s="9" t="str">
        <f t="shared" si="40"/>
        <v>Cliente 23</v>
      </c>
      <c r="B194" s="9"/>
      <c r="C194" s="10"/>
      <c r="D194" s="13"/>
      <c r="E194" s="10"/>
      <c r="F194" s="10"/>
      <c r="G194" s="10"/>
      <c r="H194" s="11"/>
      <c r="I194" s="11"/>
      <c r="J194" s="11"/>
      <c r="K194" s="11"/>
      <c r="L194" s="11"/>
      <c r="M194" s="11"/>
      <c r="O194" s="4"/>
      <c r="AB194" s="4"/>
      <c r="AF194" s="4"/>
      <c r="AG194" s="4"/>
      <c r="AH194" s="4"/>
      <c r="AI194" s="4"/>
      <c r="AJ194" s="4"/>
    </row>
    <row r="195" spans="1:55" s="18" customFormat="1" x14ac:dyDescent="0.4">
      <c r="A195" s="17" t="s">
        <v>45</v>
      </c>
      <c r="B195" s="1">
        <f t="shared" ref="B195:K195" si="41">SUM(B172:B187)</f>
        <v>0</v>
      </c>
      <c r="C195" s="1">
        <f t="shared" si="41"/>
        <v>0</v>
      </c>
      <c r="D195" s="1">
        <f t="shared" si="41"/>
        <v>0</v>
      </c>
      <c r="E195" s="1">
        <f t="shared" si="41"/>
        <v>0</v>
      </c>
      <c r="F195" s="1">
        <f t="shared" si="41"/>
        <v>0</v>
      </c>
      <c r="G195" s="1">
        <f t="shared" si="41"/>
        <v>0</v>
      </c>
      <c r="H195" s="1">
        <f t="shared" si="41"/>
        <v>0</v>
      </c>
      <c r="I195" s="1">
        <f t="shared" si="41"/>
        <v>0</v>
      </c>
      <c r="J195" s="1">
        <f t="shared" si="41"/>
        <v>0</v>
      </c>
      <c r="K195" s="1">
        <f t="shared" si="41"/>
        <v>0</v>
      </c>
      <c r="L195" s="1">
        <f t="shared" ref="L195:U195" si="42">SUM(L172:L188)</f>
        <v>0</v>
      </c>
      <c r="M195" s="1">
        <f t="shared" si="42"/>
        <v>0</v>
      </c>
      <c r="N195" s="1">
        <f t="shared" si="42"/>
        <v>0</v>
      </c>
      <c r="O195" s="1">
        <f t="shared" si="42"/>
        <v>0</v>
      </c>
      <c r="P195" s="1">
        <f t="shared" si="42"/>
        <v>0</v>
      </c>
      <c r="Q195" s="1">
        <f t="shared" si="42"/>
        <v>0</v>
      </c>
      <c r="R195" s="1">
        <f t="shared" si="42"/>
        <v>0</v>
      </c>
      <c r="S195" s="1">
        <f t="shared" si="42"/>
        <v>0</v>
      </c>
      <c r="T195" s="1">
        <f t="shared" si="42"/>
        <v>0</v>
      </c>
      <c r="U195" s="1">
        <f t="shared" si="42"/>
        <v>0</v>
      </c>
      <c r="V195" s="1">
        <f t="shared" ref="V195:AA195" si="43">SUM(V172:V192)</f>
        <v>0</v>
      </c>
      <c r="W195" s="1">
        <f t="shared" si="43"/>
        <v>0</v>
      </c>
      <c r="X195" s="1">
        <f t="shared" si="43"/>
        <v>0</v>
      </c>
      <c r="Y195" s="1">
        <f t="shared" si="43"/>
        <v>0</v>
      </c>
      <c r="Z195" s="1">
        <f t="shared" si="43"/>
        <v>0</v>
      </c>
      <c r="AA195" s="1">
        <f t="shared" si="43"/>
        <v>0</v>
      </c>
      <c r="AB195" s="1">
        <f t="shared" ref="AB195:AP195" si="44">SUM(AB172:AB194)</f>
        <v>0</v>
      </c>
      <c r="AC195" s="1">
        <f t="shared" si="44"/>
        <v>0</v>
      </c>
      <c r="AD195" s="1">
        <f t="shared" si="44"/>
        <v>0</v>
      </c>
      <c r="AE195" s="1">
        <f t="shared" si="44"/>
        <v>0</v>
      </c>
      <c r="AF195" s="1">
        <f t="shared" si="44"/>
        <v>0</v>
      </c>
      <c r="AG195" s="1">
        <f t="shared" si="44"/>
        <v>0</v>
      </c>
      <c r="AH195" s="1">
        <f t="shared" si="44"/>
        <v>0</v>
      </c>
      <c r="AI195" s="1">
        <f t="shared" si="44"/>
        <v>0</v>
      </c>
      <c r="AJ195" s="1">
        <f t="shared" si="44"/>
        <v>116000</v>
      </c>
      <c r="AK195" s="1">
        <f t="shared" si="44"/>
        <v>163000</v>
      </c>
      <c r="AL195" s="1">
        <f t="shared" si="44"/>
        <v>180500</v>
      </c>
      <c r="AM195" s="1">
        <f t="shared" si="44"/>
        <v>0</v>
      </c>
      <c r="AN195" s="1">
        <f t="shared" si="44"/>
        <v>0</v>
      </c>
      <c r="AO195" s="1">
        <f t="shared" si="44"/>
        <v>0</v>
      </c>
      <c r="AP195" s="1">
        <f t="shared" si="44"/>
        <v>0</v>
      </c>
    </row>
    <row r="196" spans="1:55" s="1" customFormat="1" x14ac:dyDescent="0.4">
      <c r="A196" s="9"/>
      <c r="B196" s="9"/>
      <c r="C196" s="10"/>
      <c r="D196" s="13"/>
      <c r="E196" s="10"/>
      <c r="F196" s="10"/>
      <c r="G196" s="10"/>
      <c r="H196" s="11"/>
      <c r="I196" s="11"/>
      <c r="J196" s="11"/>
      <c r="K196" s="11"/>
      <c r="L196" s="11"/>
      <c r="M196" s="11"/>
    </row>
    <row r="198" spans="1:55" s="49" customFormat="1" x14ac:dyDescent="0.4">
      <c r="A198" s="48" t="s">
        <v>68</v>
      </c>
      <c r="C198" s="50" t="s">
        <v>53</v>
      </c>
      <c r="D198" s="50" t="s">
        <v>53</v>
      </c>
      <c r="E198" s="50" t="s">
        <v>53</v>
      </c>
      <c r="F198" s="50" t="s">
        <v>53</v>
      </c>
      <c r="G198" s="50" t="s">
        <v>53</v>
      </c>
      <c r="H198" s="50" t="s">
        <v>53</v>
      </c>
      <c r="I198" s="50" t="s">
        <v>53</v>
      </c>
      <c r="J198" s="50" t="s">
        <v>53</v>
      </c>
      <c r="K198" s="50" t="s">
        <v>53</v>
      </c>
      <c r="L198" s="50" t="s">
        <v>53</v>
      </c>
      <c r="M198" s="50" t="s">
        <v>53</v>
      </c>
      <c r="N198" s="50" t="s">
        <v>53</v>
      </c>
      <c r="O198" s="50" t="s">
        <v>53</v>
      </c>
      <c r="P198" s="50" t="s">
        <v>53</v>
      </c>
      <c r="Q198" s="50" t="s">
        <v>53</v>
      </c>
      <c r="R198" s="50" t="s">
        <v>53</v>
      </c>
      <c r="S198" s="50" t="s">
        <v>53</v>
      </c>
      <c r="T198" s="50" t="s">
        <v>53</v>
      </c>
      <c r="U198" s="50" t="s">
        <v>53</v>
      </c>
      <c r="V198" s="50" t="s">
        <v>53</v>
      </c>
      <c r="W198" s="49" t="str">
        <f t="shared" ref="W198:BC198" si="45">+W170</f>
        <v>Consuntivato</v>
      </c>
      <c r="X198" s="49" t="str">
        <f t="shared" si="45"/>
        <v>Consuntivato</v>
      </c>
      <c r="Y198" s="49" t="str">
        <f t="shared" si="45"/>
        <v>Consuntivato</v>
      </c>
      <c r="Z198" s="51" t="str">
        <f t="shared" si="45"/>
        <v>Consuntivato</v>
      </c>
      <c r="AA198" s="51" t="str">
        <f t="shared" si="45"/>
        <v>Consuntivato</v>
      </c>
      <c r="AB198" s="51" t="str">
        <f t="shared" si="45"/>
        <v>Consuntivato</v>
      </c>
      <c r="AC198" s="51" t="str">
        <f t="shared" si="45"/>
        <v>Consuntivato</v>
      </c>
      <c r="AD198" s="51" t="str">
        <f t="shared" si="45"/>
        <v>Consuntivato</v>
      </c>
      <c r="AE198" s="51" t="str">
        <f t="shared" si="45"/>
        <v>Consuntivato</v>
      </c>
      <c r="AF198" s="51" t="str">
        <f t="shared" si="45"/>
        <v>Consuntivato</v>
      </c>
      <c r="AG198" s="51">
        <f t="shared" si="45"/>
        <v>0</v>
      </c>
      <c r="AH198" s="51">
        <f t="shared" si="45"/>
        <v>0</v>
      </c>
      <c r="AI198" s="51">
        <f t="shared" si="45"/>
        <v>0</v>
      </c>
      <c r="AJ198" s="51">
        <f t="shared" si="45"/>
        <v>0</v>
      </c>
      <c r="AK198" s="49">
        <f t="shared" si="45"/>
        <v>0</v>
      </c>
      <c r="AL198" s="49">
        <f t="shared" si="45"/>
        <v>0</v>
      </c>
      <c r="AM198" s="49">
        <f t="shared" si="45"/>
        <v>0</v>
      </c>
      <c r="AN198" s="49">
        <f t="shared" si="45"/>
        <v>0</v>
      </c>
      <c r="AO198" s="49">
        <f t="shared" si="45"/>
        <v>0</v>
      </c>
      <c r="AP198" s="49">
        <f t="shared" si="45"/>
        <v>0</v>
      </c>
      <c r="AQ198" s="49">
        <f t="shared" si="45"/>
        <v>0</v>
      </c>
      <c r="AR198" s="49">
        <f t="shared" si="45"/>
        <v>0</v>
      </c>
      <c r="AS198" s="49">
        <f t="shared" si="45"/>
        <v>0</v>
      </c>
      <c r="AT198" s="49">
        <f t="shared" si="45"/>
        <v>0</v>
      </c>
      <c r="AU198" s="49">
        <f t="shared" si="45"/>
        <v>0</v>
      </c>
      <c r="AV198" s="49">
        <f t="shared" si="45"/>
        <v>0</v>
      </c>
      <c r="AW198" s="49">
        <f t="shared" si="45"/>
        <v>0</v>
      </c>
      <c r="AX198" s="49">
        <f t="shared" si="45"/>
        <v>0</v>
      </c>
      <c r="AY198" s="49">
        <f t="shared" si="45"/>
        <v>0</v>
      </c>
      <c r="AZ198" s="49">
        <f t="shared" si="45"/>
        <v>0</v>
      </c>
      <c r="BA198" s="49">
        <f t="shared" si="45"/>
        <v>0</v>
      </c>
      <c r="BB198" s="49">
        <f t="shared" si="45"/>
        <v>0</v>
      </c>
      <c r="BC198" s="49">
        <f t="shared" si="45"/>
        <v>0</v>
      </c>
    </row>
    <row r="199" spans="1:55" s="15" customFormat="1" ht="15" x14ac:dyDescent="0.5">
      <c r="A199" s="16">
        <f t="shared" ref="A199:A222" si="46">+A171</f>
        <v>2019</v>
      </c>
      <c r="B199" s="2">
        <v>4</v>
      </c>
      <c r="C199" s="2">
        <v>5</v>
      </c>
      <c r="D199" s="2">
        <v>6</v>
      </c>
      <c r="E199" s="2">
        <v>7</v>
      </c>
      <c r="F199" s="2">
        <v>8</v>
      </c>
      <c r="G199" s="2">
        <v>9</v>
      </c>
      <c r="H199" s="2">
        <v>10</v>
      </c>
      <c r="I199" s="2">
        <v>11</v>
      </c>
      <c r="J199" s="2">
        <v>12</v>
      </c>
      <c r="K199" s="22">
        <v>1</v>
      </c>
      <c r="L199" s="22">
        <v>2</v>
      </c>
      <c r="M199" s="22">
        <v>3</v>
      </c>
      <c r="N199" s="22">
        <v>4</v>
      </c>
      <c r="O199" s="22">
        <v>5</v>
      </c>
      <c r="P199" s="22">
        <v>6</v>
      </c>
      <c r="Q199" s="22">
        <v>7</v>
      </c>
      <c r="R199" s="22">
        <v>8</v>
      </c>
      <c r="S199" s="22">
        <v>9</v>
      </c>
      <c r="T199" s="22">
        <v>10</v>
      </c>
      <c r="U199" s="22">
        <v>11</v>
      </c>
      <c r="V199" s="22">
        <v>12</v>
      </c>
      <c r="W199" s="22">
        <v>1</v>
      </c>
      <c r="X199" s="22">
        <v>2</v>
      </c>
      <c r="Y199" s="22">
        <v>3</v>
      </c>
      <c r="Z199" s="22">
        <v>4</v>
      </c>
      <c r="AA199" s="22">
        <v>5</v>
      </c>
      <c r="AB199" s="22">
        <v>6</v>
      </c>
      <c r="AC199" s="22">
        <v>7</v>
      </c>
      <c r="AD199" s="22">
        <v>8</v>
      </c>
      <c r="AE199" s="22">
        <v>9</v>
      </c>
      <c r="AF199" s="22">
        <v>10</v>
      </c>
      <c r="AG199" s="22">
        <v>11</v>
      </c>
      <c r="AH199" s="22">
        <v>12</v>
      </c>
      <c r="AI199" s="22">
        <v>1</v>
      </c>
      <c r="AJ199" s="22">
        <v>2</v>
      </c>
      <c r="AK199" s="22">
        <v>3</v>
      </c>
      <c r="AL199" s="22">
        <v>4</v>
      </c>
      <c r="AM199" s="22">
        <v>5</v>
      </c>
      <c r="AN199" s="22">
        <v>6</v>
      </c>
      <c r="AO199" s="22">
        <v>7</v>
      </c>
      <c r="AP199" s="22">
        <v>8</v>
      </c>
    </row>
    <row r="200" spans="1:55" s="4" customFormat="1" x14ac:dyDescent="0.4">
      <c r="A200" s="9" t="str">
        <f t="shared" si="46"/>
        <v>Cliente 1</v>
      </c>
    </row>
    <row r="201" spans="1:55" s="4" customFormat="1" x14ac:dyDescent="0.4">
      <c r="A201" s="9" t="str">
        <f t="shared" si="46"/>
        <v>Cliente 2</v>
      </c>
      <c r="AM201" s="4">
        <f>+AJ173</f>
        <v>55000</v>
      </c>
      <c r="AN201" s="4">
        <f t="shared" ref="AN201:AO201" si="47">+AK173</f>
        <v>55000</v>
      </c>
      <c r="AO201" s="4">
        <f t="shared" si="47"/>
        <v>55000</v>
      </c>
    </row>
    <row r="202" spans="1:55" s="4" customFormat="1" x14ac:dyDescent="0.4">
      <c r="A202" s="9" t="str">
        <f t="shared" si="46"/>
        <v>Cliente 3</v>
      </c>
      <c r="K202" s="8"/>
      <c r="L202" s="8"/>
      <c r="M202" s="8"/>
      <c r="N202" s="8"/>
      <c r="O202" s="8"/>
      <c r="AO202" s="4">
        <f>+AK174</f>
        <v>38000</v>
      </c>
    </row>
    <row r="203" spans="1:55" s="1" customFormat="1" x14ac:dyDescent="0.4">
      <c r="A203" s="9" t="str">
        <f t="shared" si="46"/>
        <v>Cliente 4</v>
      </c>
      <c r="B203" s="10"/>
      <c r="C203" s="10"/>
      <c r="D203" s="10"/>
      <c r="E203" s="10"/>
      <c r="F203" s="10"/>
      <c r="G203" s="10"/>
      <c r="H203" s="25"/>
      <c r="I203" s="25"/>
      <c r="J203" s="25"/>
      <c r="K203" s="26"/>
      <c r="L203" s="26"/>
      <c r="M203" s="24"/>
      <c r="N203" s="5"/>
      <c r="O203" s="8"/>
      <c r="P203" s="4"/>
      <c r="Q203" s="4"/>
      <c r="R203" s="4"/>
      <c r="T203" s="4"/>
      <c r="AF203" s="4"/>
      <c r="AG203" s="4"/>
      <c r="AH203" s="4"/>
      <c r="AI203" s="4"/>
      <c r="AJ203" s="4"/>
      <c r="AK203" s="4"/>
      <c r="AM203" s="4"/>
      <c r="AN203" s="4"/>
      <c r="AO203" s="4"/>
      <c r="AP203" s="4">
        <f>+AL175</f>
        <v>44000</v>
      </c>
    </row>
    <row r="204" spans="1:55" s="1" customFormat="1" x14ac:dyDescent="0.4">
      <c r="A204" s="9" t="str">
        <f t="shared" si="46"/>
        <v>Cliente 5</v>
      </c>
      <c r="B204" s="10"/>
      <c r="C204" s="10"/>
      <c r="D204" s="10"/>
      <c r="E204" s="10"/>
      <c r="F204" s="10"/>
      <c r="G204" s="10"/>
      <c r="H204" s="25"/>
      <c r="I204" s="25"/>
      <c r="J204" s="25"/>
      <c r="K204" s="26"/>
      <c r="L204" s="26"/>
      <c r="M204" s="24"/>
      <c r="N204" s="5"/>
      <c r="O204" s="8"/>
      <c r="P204" s="4"/>
      <c r="Q204" s="4"/>
      <c r="R204" s="4"/>
      <c r="S204" s="4"/>
      <c r="AF204" s="4"/>
      <c r="AG204" s="4"/>
      <c r="AH204" s="4"/>
      <c r="AI204" s="4"/>
      <c r="AJ204" s="4"/>
      <c r="AK204" s="4"/>
      <c r="AL204" s="4">
        <f>+AJ176</f>
        <v>61000</v>
      </c>
      <c r="AM204" s="4">
        <f t="shared" ref="AM204:AN204" si="48">+AK176</f>
        <v>70000</v>
      </c>
      <c r="AN204" s="4">
        <f t="shared" si="48"/>
        <v>81500</v>
      </c>
      <c r="AO204" s="4"/>
      <c r="AP204" s="4"/>
    </row>
    <row r="205" spans="1:55" s="1" customFormat="1" x14ac:dyDescent="0.4">
      <c r="A205" s="9" t="str">
        <f t="shared" si="46"/>
        <v>Cliente 6</v>
      </c>
      <c r="B205" s="10"/>
      <c r="E205" s="10"/>
      <c r="F205" s="10"/>
      <c r="G205" s="10"/>
      <c r="H205" s="25"/>
      <c r="I205" s="25"/>
      <c r="J205" s="25"/>
      <c r="K205" s="26"/>
      <c r="L205" s="26"/>
      <c r="M205" s="24"/>
      <c r="N205" s="5"/>
      <c r="O205" s="8"/>
      <c r="P205" s="4"/>
      <c r="Q205" s="4"/>
      <c r="R205" s="4"/>
      <c r="S205" s="4"/>
      <c r="AB205" s="4"/>
      <c r="AF205" s="4"/>
      <c r="AG205" s="4"/>
      <c r="AH205" s="4"/>
      <c r="AI205" s="4"/>
      <c r="AJ205" s="4"/>
      <c r="AK205" s="4"/>
    </row>
    <row r="206" spans="1:55" s="1" customFormat="1" x14ac:dyDescent="0.4">
      <c r="A206" s="9" t="str">
        <f t="shared" si="46"/>
        <v>Cliente 7</v>
      </c>
      <c r="B206" s="10"/>
      <c r="C206" s="4"/>
      <c r="D206" s="10"/>
      <c r="E206" s="10"/>
      <c r="F206" s="10"/>
      <c r="G206" s="10"/>
      <c r="H206" s="25"/>
      <c r="I206" s="25"/>
      <c r="J206" s="25"/>
      <c r="K206" s="26"/>
      <c r="L206" s="26"/>
      <c r="M206" s="26"/>
      <c r="N206" s="5"/>
      <c r="O206" s="8"/>
      <c r="P206" s="4"/>
      <c r="Q206" s="4"/>
      <c r="R206" s="4"/>
      <c r="T206" s="4"/>
      <c r="U206" s="4"/>
      <c r="AF206" s="4"/>
      <c r="AG206" s="4"/>
      <c r="AH206" s="4"/>
      <c r="AI206" s="4"/>
      <c r="AJ206" s="4"/>
      <c r="AK206" s="4"/>
    </row>
    <row r="207" spans="1:55" s="1" customFormat="1" x14ac:dyDescent="0.4">
      <c r="A207" s="9" t="str">
        <f t="shared" si="46"/>
        <v>Cliente 8</v>
      </c>
      <c r="B207" s="10"/>
      <c r="C207" s="10"/>
      <c r="D207" s="10"/>
      <c r="E207" s="10"/>
      <c r="F207" s="10"/>
      <c r="G207" s="10"/>
      <c r="H207" s="25"/>
      <c r="I207" s="25"/>
      <c r="J207" s="25"/>
      <c r="K207" s="26"/>
      <c r="L207" s="5"/>
      <c r="M207" s="26"/>
      <c r="N207" s="8"/>
      <c r="O207" s="26"/>
      <c r="P207" s="4"/>
      <c r="Q207" s="4"/>
      <c r="R207" s="4"/>
      <c r="AF207" s="4"/>
      <c r="AG207" s="4"/>
      <c r="AH207" s="4"/>
      <c r="AI207" s="4"/>
      <c r="AJ207" s="4"/>
      <c r="AK207" s="4"/>
    </row>
    <row r="208" spans="1:55" s="1" customFormat="1" x14ac:dyDescent="0.4">
      <c r="A208" s="9" t="str">
        <f t="shared" si="46"/>
        <v>Cliente 9</v>
      </c>
      <c r="B208" s="10"/>
      <c r="C208" s="10"/>
      <c r="D208" s="4"/>
      <c r="E208" s="4"/>
      <c r="F208" s="10"/>
      <c r="G208" s="10"/>
      <c r="H208" s="10"/>
      <c r="I208" s="10"/>
      <c r="J208" s="25"/>
      <c r="K208" s="26"/>
      <c r="L208" s="26"/>
      <c r="M208" s="24"/>
      <c r="N208" s="8"/>
      <c r="O208" s="8"/>
      <c r="P208" s="4"/>
      <c r="Q208" s="4"/>
      <c r="R208" s="4"/>
      <c r="V208" s="4"/>
      <c r="AF208" s="4"/>
      <c r="AG208" s="4"/>
      <c r="AH208" s="4"/>
      <c r="AI208" s="4"/>
      <c r="AJ208" s="4"/>
      <c r="AK208" s="4"/>
    </row>
    <row r="209" spans="1:43" s="1" customFormat="1" x14ac:dyDescent="0.4">
      <c r="A209" s="9" t="str">
        <f t="shared" si="46"/>
        <v>Cliente 10</v>
      </c>
      <c r="B209" s="9"/>
      <c r="C209" s="10"/>
      <c r="D209" s="4"/>
      <c r="E209" s="4"/>
      <c r="F209" s="10"/>
      <c r="G209" s="10"/>
      <c r="H209" s="10"/>
      <c r="I209" s="25"/>
      <c r="J209" s="25"/>
      <c r="K209" s="26"/>
      <c r="L209" s="26"/>
      <c r="M209" s="26"/>
      <c r="N209" s="8"/>
      <c r="O209" s="8"/>
      <c r="P209" s="4"/>
      <c r="Q209" s="4"/>
      <c r="R209" s="4"/>
      <c r="T209" s="8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43" s="1" customFormat="1" x14ac:dyDescent="0.4">
      <c r="A210" s="9" t="str">
        <f t="shared" si="46"/>
        <v>Cliente 11</v>
      </c>
      <c r="B210" s="9"/>
      <c r="C210" s="10"/>
      <c r="D210" s="10"/>
      <c r="E210" s="10"/>
      <c r="F210" s="10"/>
      <c r="G210" s="10"/>
      <c r="H210" s="25"/>
      <c r="I210" s="25"/>
      <c r="J210" s="25"/>
      <c r="K210" s="26"/>
      <c r="L210" s="26"/>
      <c r="M210" s="24"/>
      <c r="N210" s="8"/>
      <c r="O210" s="8"/>
      <c r="P210" s="4"/>
      <c r="Q210" s="4"/>
      <c r="R210" s="4"/>
      <c r="AF210" s="4"/>
      <c r="AG210" s="4"/>
      <c r="AH210" s="4"/>
      <c r="AI210" s="4"/>
      <c r="AJ210" s="4"/>
      <c r="AK210" s="4"/>
    </row>
    <row r="211" spans="1:43" s="1" customFormat="1" x14ac:dyDescent="0.4">
      <c r="A211" s="9" t="str">
        <f t="shared" si="46"/>
        <v>Cliente 12</v>
      </c>
      <c r="B211" s="9"/>
      <c r="C211" s="10"/>
      <c r="D211" s="10"/>
      <c r="E211" s="10"/>
      <c r="F211" s="10"/>
      <c r="G211" s="10"/>
      <c r="H211" s="25"/>
      <c r="I211" s="25"/>
      <c r="J211" s="25"/>
      <c r="K211" s="26"/>
      <c r="L211" s="26"/>
      <c r="M211" s="24"/>
      <c r="N211" s="26"/>
      <c r="O211" s="8"/>
      <c r="P211" s="4"/>
      <c r="Q211" s="4"/>
      <c r="R211" s="4"/>
      <c r="S211" s="4"/>
      <c r="AF211" s="4"/>
      <c r="AG211" s="4"/>
      <c r="AH211" s="4"/>
      <c r="AI211" s="4"/>
      <c r="AJ211" s="4"/>
      <c r="AK211" s="4"/>
    </row>
    <row r="212" spans="1:43" s="1" customFormat="1" x14ac:dyDescent="0.4">
      <c r="A212" s="9" t="str">
        <f t="shared" si="46"/>
        <v>Cliente 13</v>
      </c>
      <c r="B212" s="9"/>
      <c r="C212" s="10"/>
      <c r="D212" s="10"/>
      <c r="E212" s="10"/>
      <c r="F212" s="10"/>
      <c r="G212" s="10"/>
      <c r="H212" s="25"/>
      <c r="I212" s="25"/>
      <c r="J212" s="25"/>
      <c r="K212" s="26"/>
      <c r="L212" s="26"/>
      <c r="M212" s="24"/>
      <c r="N212" s="8"/>
      <c r="O212" s="8"/>
      <c r="P212" s="4"/>
      <c r="Q212" s="4"/>
      <c r="R212" s="4"/>
      <c r="AA212" s="4"/>
      <c r="AF212" s="4"/>
      <c r="AG212" s="4"/>
      <c r="AH212" s="4"/>
      <c r="AI212" s="4"/>
      <c r="AJ212" s="4"/>
      <c r="AK212" s="4"/>
    </row>
    <row r="213" spans="1:43" s="1" customFormat="1" x14ac:dyDescent="0.4">
      <c r="A213" s="9" t="str">
        <f t="shared" si="46"/>
        <v>Cliente 14</v>
      </c>
      <c r="B213" s="9"/>
      <c r="C213" s="10"/>
      <c r="D213" s="10"/>
      <c r="E213" s="10"/>
      <c r="F213" s="10"/>
      <c r="G213" s="10"/>
      <c r="H213" s="25"/>
      <c r="I213" s="25"/>
      <c r="J213" s="25"/>
      <c r="K213" s="26"/>
      <c r="L213" s="26"/>
      <c r="M213" s="26"/>
      <c r="N213" s="26"/>
      <c r="O213" s="8"/>
      <c r="P213" s="4"/>
      <c r="Q213" s="4"/>
      <c r="R213" s="4"/>
      <c r="T213" s="4"/>
      <c r="AF213" s="4"/>
      <c r="AG213" s="4"/>
      <c r="AH213" s="4"/>
      <c r="AI213" s="4"/>
      <c r="AJ213" s="4"/>
      <c r="AK213" s="4"/>
    </row>
    <row r="214" spans="1:43" s="1" customFormat="1" x14ac:dyDescent="0.4">
      <c r="A214" s="9" t="str">
        <f t="shared" si="46"/>
        <v>Cliente 15</v>
      </c>
      <c r="B214" s="9"/>
      <c r="C214" s="10"/>
      <c r="D214" s="10"/>
      <c r="E214" s="10"/>
      <c r="F214" s="10"/>
      <c r="G214" s="10"/>
      <c r="H214" s="25"/>
      <c r="I214" s="25"/>
      <c r="J214" s="25"/>
      <c r="K214" s="26"/>
      <c r="L214" s="5"/>
      <c r="M214" s="26"/>
      <c r="N214" s="26"/>
      <c r="O214" s="8"/>
      <c r="P214" s="4"/>
      <c r="Q214" s="4"/>
      <c r="R214" s="4"/>
      <c r="AF214" s="4"/>
      <c r="AG214" s="4"/>
      <c r="AH214" s="4"/>
      <c r="AI214" s="4"/>
      <c r="AJ214" s="4"/>
      <c r="AK214" s="4"/>
    </row>
    <row r="215" spans="1:43" s="1" customFormat="1" x14ac:dyDescent="0.4">
      <c r="A215" s="9" t="str">
        <f t="shared" si="46"/>
        <v>Cliente 16</v>
      </c>
      <c r="B215" s="9"/>
      <c r="C215" s="10"/>
      <c r="D215" s="10"/>
      <c r="E215" s="10"/>
      <c r="F215" s="10"/>
      <c r="G215" s="10"/>
      <c r="H215" s="11"/>
      <c r="I215" s="11"/>
      <c r="J215" s="11"/>
      <c r="K215" s="11"/>
      <c r="L215" s="11"/>
      <c r="M215" s="11"/>
      <c r="O215" s="4"/>
      <c r="P215" s="4"/>
      <c r="Q215" s="4"/>
      <c r="R215" s="4"/>
      <c r="AF215" s="4"/>
      <c r="AG215" s="4"/>
      <c r="AH215" s="4"/>
      <c r="AI215" s="4"/>
      <c r="AJ215" s="4"/>
      <c r="AK215" s="4"/>
    </row>
    <row r="216" spans="1:43" s="1" customFormat="1" x14ac:dyDescent="0.4">
      <c r="A216" s="9" t="str">
        <f t="shared" si="46"/>
        <v>Cliente 17</v>
      </c>
      <c r="B216" s="9"/>
      <c r="C216" s="10"/>
      <c r="D216" s="10"/>
      <c r="E216" s="10"/>
      <c r="F216" s="10"/>
      <c r="G216" s="10"/>
      <c r="H216" s="11"/>
      <c r="I216" s="11"/>
      <c r="J216" s="11"/>
      <c r="K216" s="11"/>
      <c r="L216" s="11"/>
      <c r="M216" s="11"/>
      <c r="O216" s="4"/>
      <c r="P216" s="4"/>
      <c r="Q216" s="4"/>
      <c r="R216" s="4"/>
      <c r="AF216" s="4"/>
      <c r="AG216" s="4"/>
      <c r="AH216" s="4"/>
      <c r="AI216" s="4"/>
      <c r="AJ216" s="4"/>
      <c r="AK216" s="4"/>
    </row>
    <row r="217" spans="1:43" s="1" customFormat="1" x14ac:dyDescent="0.4">
      <c r="A217" s="9" t="str">
        <f t="shared" si="46"/>
        <v>Cliente 18</v>
      </c>
      <c r="B217" s="9"/>
      <c r="C217" s="10"/>
      <c r="D217" s="10"/>
      <c r="E217" s="10"/>
      <c r="F217" s="10"/>
      <c r="G217" s="10"/>
      <c r="H217" s="11"/>
      <c r="I217" s="11"/>
      <c r="J217" s="11"/>
      <c r="K217" s="11"/>
      <c r="L217" s="11"/>
      <c r="M217" s="11"/>
      <c r="O217" s="4"/>
      <c r="P217" s="4"/>
      <c r="Q217" s="4"/>
      <c r="R217" s="4"/>
      <c r="AA217" s="4"/>
      <c r="AB217" s="4"/>
      <c r="AF217" s="4"/>
      <c r="AG217" s="4"/>
      <c r="AH217" s="4"/>
      <c r="AI217" s="4"/>
      <c r="AJ217" s="4"/>
      <c r="AK217" s="4"/>
    </row>
    <row r="218" spans="1:43" s="1" customFormat="1" x14ac:dyDescent="0.4">
      <c r="A218" s="9" t="str">
        <f t="shared" si="46"/>
        <v>Cliente 19</v>
      </c>
      <c r="B218" s="9"/>
      <c r="C218" s="10"/>
      <c r="D218" s="10"/>
      <c r="E218" s="10"/>
      <c r="F218" s="10"/>
      <c r="G218" s="10"/>
      <c r="H218" s="11"/>
      <c r="I218" s="11"/>
      <c r="J218" s="11"/>
      <c r="K218" s="11"/>
      <c r="L218" s="11"/>
      <c r="M218" s="11"/>
      <c r="O218" s="4"/>
      <c r="P218" s="4"/>
      <c r="Q218" s="4"/>
      <c r="R218" s="4"/>
      <c r="AF218" s="4"/>
      <c r="AG218" s="4"/>
      <c r="AH218" s="4"/>
      <c r="AI218" s="4"/>
      <c r="AJ218" s="4"/>
      <c r="AK218" s="4"/>
    </row>
    <row r="219" spans="1:43" s="1" customFormat="1" x14ac:dyDescent="0.4">
      <c r="A219" s="9" t="str">
        <f t="shared" si="46"/>
        <v>Cliente 20</v>
      </c>
      <c r="B219" s="9"/>
      <c r="C219" s="10"/>
      <c r="D219" s="10"/>
      <c r="E219" s="10"/>
      <c r="F219" s="10"/>
      <c r="G219" s="10"/>
      <c r="H219" s="11"/>
      <c r="I219" s="11"/>
      <c r="J219" s="11"/>
      <c r="K219" s="11"/>
      <c r="L219" s="11"/>
      <c r="M219" s="11"/>
      <c r="O219" s="4"/>
      <c r="P219" s="4"/>
      <c r="Q219" s="4"/>
      <c r="R219" s="4"/>
      <c r="AF219" s="4"/>
      <c r="AG219" s="4"/>
      <c r="AH219" s="4"/>
      <c r="AI219" s="4"/>
      <c r="AJ219" s="4"/>
      <c r="AK219" s="4"/>
    </row>
    <row r="220" spans="1:43" s="1" customFormat="1" x14ac:dyDescent="0.4">
      <c r="A220" s="9" t="str">
        <f t="shared" si="46"/>
        <v>Cliente 21</v>
      </c>
      <c r="B220" s="9"/>
      <c r="C220" s="10"/>
      <c r="D220" s="10"/>
      <c r="E220" s="10"/>
      <c r="F220" s="10"/>
      <c r="G220" s="10"/>
      <c r="H220" s="11"/>
      <c r="I220" s="11"/>
      <c r="J220" s="11"/>
      <c r="K220" s="11"/>
      <c r="L220" s="11"/>
      <c r="M220" s="11"/>
      <c r="O220" s="4"/>
      <c r="P220" s="4"/>
      <c r="Q220" s="4"/>
      <c r="R220" s="4"/>
      <c r="AF220" s="4"/>
      <c r="AG220" s="4"/>
      <c r="AH220" s="4"/>
      <c r="AI220" s="4"/>
      <c r="AJ220" s="4"/>
      <c r="AK220" s="4"/>
    </row>
    <row r="221" spans="1:43" s="1" customFormat="1" x14ac:dyDescent="0.4">
      <c r="A221" s="9" t="str">
        <f t="shared" si="46"/>
        <v>Cliente 22</v>
      </c>
      <c r="B221" s="9"/>
      <c r="C221" s="10"/>
      <c r="D221" s="10"/>
      <c r="E221" s="10"/>
      <c r="F221" s="10"/>
      <c r="G221" s="10"/>
      <c r="H221" s="11"/>
      <c r="I221" s="11"/>
      <c r="J221" s="11"/>
      <c r="K221" s="11"/>
      <c r="L221" s="11"/>
      <c r="M221" s="11"/>
      <c r="O221" s="4"/>
      <c r="P221" s="4"/>
      <c r="Q221" s="4"/>
      <c r="R221" s="4"/>
      <c r="AE221" s="4"/>
      <c r="AF221" s="4"/>
      <c r="AG221" s="4"/>
      <c r="AH221" s="4"/>
      <c r="AI221" s="4"/>
      <c r="AJ221" s="4"/>
      <c r="AK221" s="4"/>
    </row>
    <row r="222" spans="1:43" s="1" customFormat="1" x14ac:dyDescent="0.4">
      <c r="A222" s="9" t="str">
        <f t="shared" si="46"/>
        <v>Cliente 23</v>
      </c>
      <c r="B222" s="9"/>
      <c r="C222" s="10"/>
      <c r="D222" s="10"/>
      <c r="E222" s="10"/>
      <c r="F222" s="10"/>
      <c r="G222" s="10"/>
      <c r="H222" s="11"/>
      <c r="I222" s="11"/>
      <c r="J222" s="11"/>
      <c r="K222" s="11"/>
      <c r="L222" s="11"/>
      <c r="M222" s="11"/>
      <c r="O222" s="4"/>
      <c r="P222" s="4"/>
      <c r="Q222" s="4"/>
      <c r="R222" s="4"/>
      <c r="AE222" s="4"/>
      <c r="AF222" s="4"/>
      <c r="AG222" s="4"/>
      <c r="AH222" s="4"/>
      <c r="AI222" s="4"/>
      <c r="AJ222" s="4"/>
      <c r="AK222" s="4"/>
    </row>
    <row r="223" spans="1:43" s="18" customFormat="1" x14ac:dyDescent="0.4">
      <c r="A223" s="17" t="s">
        <v>45</v>
      </c>
      <c r="B223" s="1">
        <f t="shared" ref="B223:J223" si="49">SUM(B200:B215)</f>
        <v>0</v>
      </c>
      <c r="C223" s="1">
        <f t="shared" si="49"/>
        <v>0</v>
      </c>
      <c r="D223" s="1">
        <f t="shared" si="49"/>
        <v>0</v>
      </c>
      <c r="E223" s="1">
        <f t="shared" si="49"/>
        <v>0</v>
      </c>
      <c r="F223" s="1">
        <f>SUM(F200:F215)</f>
        <v>0</v>
      </c>
      <c r="G223" s="1">
        <f t="shared" si="49"/>
        <v>0</v>
      </c>
      <c r="H223" s="1">
        <f t="shared" si="49"/>
        <v>0</v>
      </c>
      <c r="I223" s="1">
        <f t="shared" si="49"/>
        <v>0</v>
      </c>
      <c r="J223" s="1">
        <f t="shared" si="49"/>
        <v>0</v>
      </c>
      <c r="K223" s="1">
        <f>SUM(K200:K216)</f>
        <v>0</v>
      </c>
      <c r="L223" s="1">
        <f t="shared" ref="L223:U223" si="50">SUM(L200:L216)</f>
        <v>0</v>
      </c>
      <c r="M223" s="1">
        <f t="shared" si="50"/>
        <v>0</v>
      </c>
      <c r="N223" s="1">
        <f t="shared" si="50"/>
        <v>0</v>
      </c>
      <c r="O223" s="1">
        <f t="shared" si="50"/>
        <v>0</v>
      </c>
      <c r="P223" s="1">
        <f t="shared" si="50"/>
        <v>0</v>
      </c>
      <c r="Q223" s="1">
        <f t="shared" si="50"/>
        <v>0</v>
      </c>
      <c r="R223" s="1">
        <f t="shared" si="50"/>
        <v>0</v>
      </c>
      <c r="S223" s="1">
        <f t="shared" si="50"/>
        <v>0</v>
      </c>
      <c r="T223" s="1">
        <f t="shared" si="50"/>
        <v>0</v>
      </c>
      <c r="U223" s="1">
        <f t="shared" si="50"/>
        <v>0</v>
      </c>
      <c r="V223" s="1">
        <f t="shared" ref="V223:AA223" si="51">SUM(V200:V220)</f>
        <v>0</v>
      </c>
      <c r="W223" s="1">
        <f t="shared" si="51"/>
        <v>0</v>
      </c>
      <c r="X223" s="1">
        <f t="shared" si="51"/>
        <v>0</v>
      </c>
      <c r="Y223" s="1">
        <f t="shared" si="51"/>
        <v>0</v>
      </c>
      <c r="Z223" s="1">
        <f t="shared" si="51"/>
        <v>0</v>
      </c>
      <c r="AA223" s="1">
        <f t="shared" si="51"/>
        <v>0</v>
      </c>
      <c r="AB223" s="1">
        <f t="shared" ref="AB223:AP223" si="52">SUM(AB200:AB222)</f>
        <v>0</v>
      </c>
      <c r="AC223" s="1">
        <f t="shared" si="52"/>
        <v>0</v>
      </c>
      <c r="AD223" s="1">
        <f t="shared" si="52"/>
        <v>0</v>
      </c>
      <c r="AE223" s="1">
        <f t="shared" si="52"/>
        <v>0</v>
      </c>
      <c r="AF223" s="1">
        <f t="shared" si="52"/>
        <v>0</v>
      </c>
      <c r="AG223" s="1">
        <f t="shared" si="52"/>
        <v>0</v>
      </c>
      <c r="AH223" s="1">
        <f t="shared" si="52"/>
        <v>0</v>
      </c>
      <c r="AI223" s="1">
        <f t="shared" si="52"/>
        <v>0</v>
      </c>
      <c r="AJ223" s="1">
        <f t="shared" si="52"/>
        <v>0</v>
      </c>
      <c r="AK223" s="1">
        <f t="shared" si="52"/>
        <v>0</v>
      </c>
      <c r="AL223" s="1">
        <f t="shared" si="52"/>
        <v>61000</v>
      </c>
      <c r="AM223" s="1">
        <f t="shared" si="52"/>
        <v>125000</v>
      </c>
      <c r="AN223" s="1">
        <f t="shared" si="52"/>
        <v>136500</v>
      </c>
      <c r="AO223" s="1">
        <f t="shared" si="52"/>
        <v>93000</v>
      </c>
      <c r="AP223" s="1">
        <f t="shared" si="52"/>
        <v>44000</v>
      </c>
      <c r="AQ223" s="1"/>
    </row>
  </sheetData>
  <phoneticPr fontId="15" type="noConversion"/>
  <printOptions gridLines="1"/>
  <pageMargins left="0.43307086614173229" right="0.35433070866141736" top="0.59055118110236227" bottom="0.6692913385826772" header="0.23" footer="0.51181102362204722"/>
  <pageSetup paperSize="9" scale="95" orientation="landscape" horizontalDpi="4294967294" verticalDpi="300" r:id="rId1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213"/>
  <sheetViews>
    <sheetView tabSelected="1" zoomScale="110" zoomScaleNormal="110" zoomScaleSheetLayoutView="100" workbookViewId="0">
      <pane xSplit="1" ySplit="3" topLeftCell="AE133" activePane="bottomRight" state="frozen"/>
      <selection activeCell="AL54" sqref="AL54:AN54"/>
      <selection pane="topRight" activeCell="AL54" sqref="AL54:AN54"/>
      <selection pane="bottomLeft" activeCell="AL54" sqref="AL54:AN54"/>
      <selection pane="bottomRight" activeCell="AG147" sqref="AG147"/>
    </sheetView>
  </sheetViews>
  <sheetFormatPr defaultColWidth="9.109375" defaultRowHeight="12.3" x14ac:dyDescent="0.4"/>
  <cols>
    <col min="1" max="1" width="43" style="4" customWidth="1"/>
    <col min="2" max="7" width="13.44140625" style="4" hidden="1" customWidth="1"/>
    <col min="8" max="10" width="13.33203125" style="4" hidden="1" customWidth="1"/>
    <col min="11" max="19" width="12.5546875" style="4" hidden="1" customWidth="1"/>
    <col min="20" max="22" width="13.109375" style="4" hidden="1" customWidth="1"/>
    <col min="23" max="23" width="12.88671875" style="4" hidden="1" customWidth="1"/>
    <col min="24" max="24" width="13" style="4" hidden="1" customWidth="1"/>
    <col min="25" max="25" width="13.109375" style="4" hidden="1" customWidth="1"/>
    <col min="26" max="29" width="12.5546875" style="4" hidden="1" customWidth="1"/>
    <col min="30" max="30" width="12.6640625" style="4" hidden="1" customWidth="1"/>
    <col min="31" max="31" width="12.5" style="4" customWidth="1"/>
    <col min="32" max="32" width="13.88671875" style="4" bestFit="1" customWidth="1"/>
    <col min="33" max="34" width="12.94140625" style="4" bestFit="1" customWidth="1"/>
    <col min="35" max="38" width="14.38671875" style="4" bestFit="1" customWidth="1"/>
    <col min="39" max="39" width="12.94140625" style="8" bestFit="1" customWidth="1"/>
    <col min="40" max="116" width="9.109375" style="8"/>
    <col min="117" max="16384" width="9.109375" style="4"/>
  </cols>
  <sheetData>
    <row r="1" spans="1:38" s="56" customFormat="1" ht="17.7" x14ac:dyDescent="0.6">
      <c r="A1" s="56" t="s">
        <v>95</v>
      </c>
      <c r="B1" s="57"/>
    </row>
    <row r="2" spans="1:38" s="59" customFormat="1" ht="11.25" customHeight="1" x14ac:dyDescent="0.4">
      <c r="A2" s="58" t="s">
        <v>0</v>
      </c>
      <c r="B2" s="60"/>
      <c r="C2" s="61" t="s">
        <v>48</v>
      </c>
      <c r="D2" s="61" t="s">
        <v>48</v>
      </c>
      <c r="E2" s="61" t="s">
        <v>48</v>
      </c>
      <c r="F2" s="61" t="s">
        <v>48</v>
      </c>
      <c r="G2" s="61" t="s">
        <v>48</v>
      </c>
      <c r="H2" s="61" t="s">
        <v>48</v>
      </c>
      <c r="I2" s="61" t="s">
        <v>48</v>
      </c>
      <c r="J2" s="61" t="s">
        <v>48</v>
      </c>
      <c r="K2" s="61" t="s">
        <v>48</v>
      </c>
      <c r="L2" s="61" t="s">
        <v>48</v>
      </c>
      <c r="M2" s="61" t="s">
        <v>48</v>
      </c>
      <c r="N2" s="61" t="s">
        <v>48</v>
      </c>
      <c r="O2" s="61" t="s">
        <v>48</v>
      </c>
      <c r="P2" s="61" t="s">
        <v>48</v>
      </c>
      <c r="Q2" s="61" t="s">
        <v>48</v>
      </c>
      <c r="R2" s="61" t="s">
        <v>48</v>
      </c>
      <c r="S2" s="61" t="s">
        <v>48</v>
      </c>
      <c r="T2" s="61" t="s">
        <v>48</v>
      </c>
      <c r="U2" s="61" t="s">
        <v>48</v>
      </c>
      <c r="V2" s="61" t="s">
        <v>48</v>
      </c>
      <c r="W2" s="61" t="s">
        <v>48</v>
      </c>
      <c r="X2" s="61" t="s">
        <v>48</v>
      </c>
      <c r="Y2" s="61" t="s">
        <v>48</v>
      </c>
      <c r="Z2" s="61" t="s">
        <v>48</v>
      </c>
      <c r="AA2" s="61" t="s">
        <v>48</v>
      </c>
      <c r="AB2" s="61" t="s">
        <v>48</v>
      </c>
      <c r="AC2" s="61" t="s">
        <v>48</v>
      </c>
      <c r="AD2" s="61" t="s">
        <v>48</v>
      </c>
      <c r="AE2" s="61" t="s">
        <v>48</v>
      </c>
      <c r="AF2" s="61" t="s">
        <v>48</v>
      </c>
    </row>
    <row r="3" spans="1:38" s="63" customFormat="1" ht="13.5" customHeight="1" x14ac:dyDescent="0.5">
      <c r="A3" s="62">
        <v>2019</v>
      </c>
      <c r="B3" s="63">
        <v>4</v>
      </c>
      <c r="C3" s="63">
        <v>5</v>
      </c>
      <c r="D3" s="63">
        <v>6</v>
      </c>
      <c r="E3" s="63">
        <v>7</v>
      </c>
      <c r="F3" s="63">
        <v>8</v>
      </c>
      <c r="G3" s="63">
        <v>9</v>
      </c>
      <c r="H3" s="63">
        <v>10</v>
      </c>
      <c r="I3" s="63">
        <v>11</v>
      </c>
      <c r="J3" s="63">
        <v>12</v>
      </c>
      <c r="K3" s="63">
        <v>1</v>
      </c>
      <c r="L3" s="63">
        <v>2</v>
      </c>
      <c r="M3" s="63">
        <v>3</v>
      </c>
      <c r="N3" s="63">
        <v>4</v>
      </c>
      <c r="O3" s="63">
        <v>5</v>
      </c>
      <c r="P3" s="63">
        <v>6</v>
      </c>
      <c r="Q3" s="63">
        <v>7</v>
      </c>
      <c r="R3" s="63">
        <v>8</v>
      </c>
      <c r="S3" s="63">
        <v>9</v>
      </c>
      <c r="T3" s="63">
        <v>10</v>
      </c>
      <c r="U3" s="63">
        <v>11</v>
      </c>
      <c r="V3" s="63">
        <v>12</v>
      </c>
      <c r="W3" s="63">
        <v>1</v>
      </c>
      <c r="X3" s="63">
        <v>2</v>
      </c>
      <c r="Y3" s="63">
        <v>3</v>
      </c>
      <c r="Z3" s="63">
        <v>4</v>
      </c>
      <c r="AA3" s="63">
        <v>5</v>
      </c>
      <c r="AB3" s="63">
        <v>6</v>
      </c>
      <c r="AC3" s="63">
        <v>7</v>
      </c>
      <c r="AD3" s="63">
        <v>8</v>
      </c>
      <c r="AE3" s="63">
        <v>9</v>
      </c>
      <c r="AF3" s="63">
        <v>10</v>
      </c>
      <c r="AG3" s="63">
        <v>11</v>
      </c>
      <c r="AH3" s="63">
        <v>12</v>
      </c>
      <c r="AI3" s="63">
        <v>1</v>
      </c>
      <c r="AJ3" s="63">
        <v>2</v>
      </c>
      <c r="AK3" s="63">
        <v>3</v>
      </c>
      <c r="AL3" s="63">
        <v>4</v>
      </c>
    </row>
    <row r="4" spans="1:38" s="66" customFormat="1" x14ac:dyDescent="0.4">
      <c r="A4" s="64"/>
      <c r="B4" s="65"/>
      <c r="C4" s="65"/>
      <c r="D4" s="65"/>
      <c r="G4" s="65"/>
    </row>
    <row r="5" spans="1:38" s="59" customFormat="1" x14ac:dyDescent="0.4">
      <c r="A5" s="59" t="s">
        <v>54</v>
      </c>
      <c r="B5" s="67"/>
      <c r="C5" s="65"/>
      <c r="D5" s="65"/>
      <c r="E5" s="65"/>
      <c r="F5" s="65"/>
      <c r="G5" s="65"/>
    </row>
    <row r="6" spans="1:38" s="59" customFormat="1" x14ac:dyDescent="0.4">
      <c r="A6" s="68" t="s">
        <v>100</v>
      </c>
      <c r="B6" s="69">
        <f>+'Dettaglio RIBANov19'!B26</f>
        <v>0</v>
      </c>
      <c r="C6" s="69">
        <f>+'Dettaglio RIBANov19'!C26</f>
        <v>31418.92</v>
      </c>
      <c r="D6" s="69">
        <f>+'Dettaglio RIBANov19'!D26</f>
        <v>95918.88</v>
      </c>
      <c r="E6" s="69">
        <f>+'Dettaglio RIBANov19'!E26</f>
        <v>18463.060000000001</v>
      </c>
      <c r="F6" s="69">
        <f>+'Dettaglio RIBANov19'!F26</f>
        <v>90978.16</v>
      </c>
      <c r="G6" s="69">
        <f>+'Dettaglio RIBANov19'!G26</f>
        <v>25270.28</v>
      </c>
      <c r="H6" s="69">
        <f>+'Dettaglio RIBANov19'!H26</f>
        <v>90669.53</v>
      </c>
      <c r="I6" s="69">
        <f>+'Dettaglio RIBANov19'!I26</f>
        <v>38262.1</v>
      </c>
      <c r="J6" s="69">
        <f>+'Dettaglio RIBANov19'!J26</f>
        <v>0</v>
      </c>
      <c r="K6" s="69">
        <f>+'Dettaglio RIBANov19'!K26</f>
        <v>229164.1</v>
      </c>
      <c r="L6" s="69">
        <f>+'Dettaglio RIBANov19'!L26</f>
        <v>60782.229999999996</v>
      </c>
      <c r="M6" s="69">
        <f>+'Dettaglio RIBANov19'!M26</f>
        <v>53370.13</v>
      </c>
      <c r="N6" s="69">
        <f>+'Dettaglio RIBANov19'!N26</f>
        <v>0</v>
      </c>
      <c r="O6" s="69">
        <f>+'Dettaglio RIBANov19'!O26</f>
        <v>54674</v>
      </c>
      <c r="P6" s="69">
        <f>+'Dettaglio RIBANov19'!P26</f>
        <v>92154.540000000008</v>
      </c>
      <c r="Q6" s="69">
        <f>+'Dettaglio RIBANov19'!Q26</f>
        <v>6544.57</v>
      </c>
      <c r="R6" s="69">
        <f>+'Dettaglio RIBANov19'!R26</f>
        <v>0</v>
      </c>
      <c r="S6" s="69">
        <f>+'Dettaglio RIBANov19'!S26</f>
        <v>6322.69</v>
      </c>
      <c r="T6" s="69">
        <f>+'Dettaglio RIBANov19'!T26</f>
        <v>23480</v>
      </c>
      <c r="U6" s="69">
        <f>+'Dettaglio RIBANov19'!U26</f>
        <v>57788.66</v>
      </c>
      <c r="V6" s="69">
        <f>+'Dettaglio RIBANov19'!V26</f>
        <v>67181.95</v>
      </c>
      <c r="W6" s="69">
        <f>+'Dettaglio RIBANov19'!W26</f>
        <v>0</v>
      </c>
      <c r="X6" s="69">
        <f>+'Dettaglio RIBANov19'!X26</f>
        <v>39600</v>
      </c>
      <c r="Y6" s="69">
        <f>+'Dettaglio RIBANov19'!Y26</f>
        <v>0</v>
      </c>
      <c r="Z6" s="69">
        <f>+'Dettaglio RIBANov19'!Z26</f>
        <v>0</v>
      </c>
      <c r="AA6" s="69">
        <f>+'Dettaglio RIBANov19'!AA26</f>
        <v>0</v>
      </c>
      <c r="AB6" s="69">
        <f>+'Dettaglio RIBANov19'!AB26</f>
        <v>108239.2</v>
      </c>
      <c r="AC6" s="69">
        <f>+'Dettaglio RIBANov19'!AC26</f>
        <v>23000</v>
      </c>
      <c r="AD6" s="69">
        <f>+'Dettaglio RIBANov19'!AD26</f>
        <v>137512.25</v>
      </c>
      <c r="AE6" s="69">
        <f>+'Dettaglio RIBANov19'!AE26</f>
        <v>86506.81</v>
      </c>
      <c r="AF6" s="69">
        <f>+'Dettaglio RIBANov19'!AF26</f>
        <v>35992.800000000003</v>
      </c>
      <c r="AG6" s="69">
        <f>+'Dettaglio RIBANov19'!AG26</f>
        <v>118627.63</v>
      </c>
      <c r="AH6" s="69">
        <f>+'Dettaglio RIBANov19'!AH26</f>
        <v>297548.83333333331</v>
      </c>
      <c r="AI6" s="69">
        <f>+'Dettaglio RIBANov19'!AI26</f>
        <v>148617.60000000001</v>
      </c>
      <c r="AJ6" s="69">
        <f>+'Dettaglio RIBANov19'!AJ26</f>
        <v>47190</v>
      </c>
      <c r="AK6" s="69">
        <f>+'Dettaglio RIBANov19'!AK26</f>
        <v>0</v>
      </c>
      <c r="AL6" s="69">
        <f>+'Dettaglio RIBANov19'!AL26</f>
        <v>0</v>
      </c>
    </row>
    <row r="7" spans="1:38" s="59" customFormat="1" x14ac:dyDescent="0.4">
      <c r="A7" s="68" t="s">
        <v>99</v>
      </c>
      <c r="B7" s="69">
        <f>+'Dettaglio RIBANov19'!B83</f>
        <v>0</v>
      </c>
      <c r="C7" s="69">
        <f>+'Dettaglio RIBANov19'!C83</f>
        <v>83817.600000000006</v>
      </c>
      <c r="D7" s="69">
        <f>+'Dettaglio RIBANov19'!D83</f>
        <v>0</v>
      </c>
      <c r="E7" s="69">
        <f>+'Dettaglio RIBANov19'!E83</f>
        <v>0</v>
      </c>
      <c r="F7" s="69">
        <f>+'Dettaglio RIBANov19'!F83</f>
        <v>50337</v>
      </c>
      <c r="G7" s="69">
        <f>+'Dettaglio RIBANov19'!G83</f>
        <v>0</v>
      </c>
      <c r="H7" s="69">
        <f>+'Dettaglio RIBANov19'!H83</f>
        <v>0</v>
      </c>
      <c r="I7" s="69">
        <f>+'Dettaglio RIBANov19'!I83</f>
        <v>94107.24</v>
      </c>
      <c r="J7" s="69">
        <f>+'Dettaglio RIBANov19'!J83</f>
        <v>54203.900000000009</v>
      </c>
      <c r="K7" s="69">
        <f>+'Dettaglio RIBANov19'!K83</f>
        <v>41287.67</v>
      </c>
      <c r="L7" s="69">
        <f>+'Dettaglio RIBANov19'!L83-L9</f>
        <v>0</v>
      </c>
      <c r="M7" s="69">
        <f>+'Dettaglio RIBANov19'!M83</f>
        <v>0</v>
      </c>
      <c r="N7" s="69">
        <f>+'Dettaglio RIBANov19'!N83</f>
        <v>0</v>
      </c>
      <c r="O7" s="69">
        <f>+'Dettaglio RIBANov19'!O83</f>
        <v>63458.44</v>
      </c>
      <c r="P7" s="69">
        <f>+'Dettaglio RIBANov19'!P83</f>
        <v>40904.39</v>
      </c>
      <c r="Q7" s="69">
        <f>+'Dettaglio RIBANov19'!Q83</f>
        <v>39680</v>
      </c>
      <c r="R7" s="69">
        <f>+'Dettaglio RIBANov19'!R83</f>
        <v>50477</v>
      </c>
      <c r="S7" s="69">
        <f>+'Dettaglio RIBANov19'!S83</f>
        <v>30125</v>
      </c>
      <c r="T7" s="69">
        <f>+'Dettaglio RIBANov19'!T83</f>
        <v>0</v>
      </c>
      <c r="U7" s="69">
        <f>+'Dettaglio RIBANov19'!U83</f>
        <v>10216</v>
      </c>
      <c r="V7" s="69">
        <f>+'Dettaglio RIBANov19'!V83</f>
        <v>0</v>
      </c>
      <c r="W7" s="69">
        <f>+'Dettaglio RIBANov19'!W83</f>
        <v>17000</v>
      </c>
      <c r="X7" s="69">
        <f>+'Dettaglio RIBANov19'!X83</f>
        <v>14020.79</v>
      </c>
      <c r="Y7" s="69">
        <f>+'Dettaglio RIBANov19'!Y83</f>
        <v>29937.66</v>
      </c>
      <c r="Z7" s="69">
        <f>+'Dettaglio RIBANov19'!Z83</f>
        <v>57678.979999999996</v>
      </c>
      <c r="AA7" s="69">
        <f>+'Dettaglio RIBANov19'!AA83</f>
        <v>55078.78</v>
      </c>
      <c r="AB7" s="69">
        <f>+'Dettaglio RIBANov19'!AB83</f>
        <v>43082</v>
      </c>
      <c r="AC7" s="69">
        <f>+'Dettaglio RIBANov19'!AC83</f>
        <v>200870.71000000002</v>
      </c>
      <c r="AD7" s="69">
        <f>+'Dettaglio RIBANov19'!AD83</f>
        <v>0</v>
      </c>
      <c r="AE7" s="69">
        <f>+'Dettaglio RIBANov19'!AE83</f>
        <v>115773.20999999999</v>
      </c>
      <c r="AF7" s="69">
        <f>+'Dettaglio RIBANov19'!AF83</f>
        <v>48122.12</v>
      </c>
      <c r="AG7" s="69">
        <f>+'Dettaglio RIBANov19'!AG83</f>
        <v>0</v>
      </c>
      <c r="AH7" s="69">
        <f>+'Dettaglio RIBANov19'!AH83</f>
        <v>0</v>
      </c>
      <c r="AI7" s="69">
        <f>+'Dettaglio RIBANov19'!AI83</f>
        <v>0</v>
      </c>
      <c r="AJ7" s="69">
        <f>+'Dettaglio RIBANov19'!AJ83</f>
        <v>0</v>
      </c>
      <c r="AK7" s="69">
        <f>+'Dettaglio RIBANov19'!AK83</f>
        <v>0</v>
      </c>
      <c r="AL7" s="69">
        <f>+'Dettaglio RIBANov19'!AL83</f>
        <v>0</v>
      </c>
    </row>
    <row r="8" spans="1:38" s="59" customFormat="1" x14ac:dyDescent="0.4">
      <c r="A8" s="68" t="s">
        <v>62</v>
      </c>
      <c r="B8" s="69"/>
      <c r="C8" s="69"/>
      <c r="D8" s="69"/>
      <c r="E8" s="69"/>
      <c r="F8" s="69"/>
      <c r="G8" s="69"/>
      <c r="H8" s="69"/>
      <c r="I8" s="69"/>
      <c r="J8" s="69"/>
      <c r="K8" s="69">
        <f>+'Dettaglio RIBANov19'!K139</f>
        <v>0</v>
      </c>
      <c r="L8" s="69">
        <f>+'Dettaglio RIBANov19'!L139</f>
        <v>0</v>
      </c>
      <c r="M8" s="69">
        <f>+'Dettaglio RIBANov19'!M139</f>
        <v>0</v>
      </c>
      <c r="N8" s="69">
        <f>+'Dettaglio RIBANov19'!N139</f>
        <v>0</v>
      </c>
      <c r="O8" s="69">
        <f>+'Dettaglio RIBANov19'!O139</f>
        <v>0</v>
      </c>
      <c r="P8" s="69">
        <f>+'Dettaglio RIBANov19'!P139</f>
        <v>0</v>
      </c>
      <c r="Q8" s="69">
        <f>+'Dettaglio RIBANov19'!Q139</f>
        <v>0</v>
      </c>
      <c r="R8" s="69">
        <f>+'Dettaglio RIBANov19'!R139</f>
        <v>0</v>
      </c>
      <c r="S8" s="69">
        <f>+'Dettaglio RIBANov19'!S139</f>
        <v>24720</v>
      </c>
      <c r="T8" s="69">
        <f>+'Dettaglio RIBANov19'!T139</f>
        <v>0</v>
      </c>
      <c r="U8" s="69">
        <f>+'Dettaglio RIBANov19'!U139</f>
        <v>0</v>
      </c>
      <c r="V8" s="69">
        <f>+'Dettaglio RIBANov19'!V139</f>
        <v>0</v>
      </c>
      <c r="W8" s="69">
        <f>+'Dettaglio RIBANov19'!W139</f>
        <v>0</v>
      </c>
      <c r="X8" s="69">
        <f>+'Dettaglio RIBANov19'!X139</f>
        <v>0</v>
      </c>
      <c r="Y8" s="69">
        <f>+'Dettaglio RIBANov19'!Y139</f>
        <v>113521.7</v>
      </c>
      <c r="Z8" s="69">
        <f>+'Dettaglio RIBANov19'!Z139</f>
        <v>0</v>
      </c>
      <c r="AA8" s="69">
        <f>+'Dettaglio RIBANov19'!AA139</f>
        <v>0</v>
      </c>
      <c r="AB8" s="69">
        <f>+'Dettaglio RIBANov19'!AB139</f>
        <v>69771.53</v>
      </c>
      <c r="AC8" s="69">
        <f>+'Dettaglio RIBANov19'!AC139</f>
        <v>0</v>
      </c>
      <c r="AD8" s="69">
        <f>+'Dettaglio RIBANov19'!AD139</f>
        <v>79460.160000000003</v>
      </c>
      <c r="AE8" s="69">
        <f>+'Dettaglio RIBANov19'!AE139</f>
        <v>0</v>
      </c>
      <c r="AF8" s="69">
        <f>+'Dettaglio RIBANov19'!AF139</f>
        <v>68894.209999999992</v>
      </c>
      <c r="AG8" s="69">
        <f>+'Dettaglio RIBANov19'!AG139</f>
        <v>0</v>
      </c>
      <c r="AH8" s="69">
        <f>+'Dettaglio RIBANov19'!AH139</f>
        <v>0</v>
      </c>
      <c r="AI8" s="69">
        <f>+'Dettaglio RIBANov19'!AI139</f>
        <v>0</v>
      </c>
      <c r="AJ8" s="69">
        <f>+'Dettaglio RIBANov19'!AJ139</f>
        <v>0</v>
      </c>
      <c r="AK8" s="69">
        <f>+'Dettaglio RIBANov19'!AK139</f>
        <v>0</v>
      </c>
      <c r="AL8" s="69">
        <f>+'Dettaglio RIBANov19'!AL139</f>
        <v>0</v>
      </c>
    </row>
    <row r="9" spans="1:38" s="59" customFormat="1" x14ac:dyDescent="0.4">
      <c r="A9" s="70" t="s">
        <v>69</v>
      </c>
      <c r="B9" s="69"/>
      <c r="C9" s="69"/>
      <c r="D9" s="69"/>
      <c r="E9" s="69"/>
      <c r="F9" s="69"/>
      <c r="G9" s="69"/>
      <c r="H9" s="71"/>
      <c r="I9" s="71"/>
      <c r="J9" s="71"/>
      <c r="K9" s="71"/>
      <c r="L9" s="71">
        <v>73795.7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69">
        <f>+'Dettaglio RIBANov19'!AG195</f>
        <v>0</v>
      </c>
      <c r="AH9" s="69">
        <f>+'Dettaglio RIBANov19'!AH195</f>
        <v>0</v>
      </c>
      <c r="AI9" s="69">
        <f>+'Dettaglio RIBANov19'!AI195</f>
        <v>0</v>
      </c>
      <c r="AJ9" s="69">
        <f>+'Dettaglio RIBANov19'!AJ195</f>
        <v>116000</v>
      </c>
      <c r="AK9" s="69">
        <f>+'Dettaglio RIBANov19'!AK195</f>
        <v>163000</v>
      </c>
      <c r="AL9" s="69">
        <f>+'Dettaglio RIBANov19'!AL195</f>
        <v>180500</v>
      </c>
    </row>
    <row r="10" spans="1:38" s="59" customFormat="1" x14ac:dyDescent="0.4">
      <c r="A10" s="70"/>
      <c r="B10" s="69"/>
      <c r="C10" s="69"/>
      <c r="D10" s="69"/>
      <c r="E10" s="69"/>
      <c r="F10" s="69"/>
      <c r="G10" s="69"/>
      <c r="H10" s="71"/>
      <c r="I10" s="71"/>
      <c r="J10" s="71"/>
      <c r="K10" s="71"/>
      <c r="L10" s="71"/>
      <c r="M10" s="71"/>
    </row>
    <row r="11" spans="1:38" s="58" customFormat="1" x14ac:dyDescent="0.4">
      <c r="A11" s="72" t="s">
        <v>55</v>
      </c>
      <c r="B11" s="73">
        <f t="shared" ref="B11:K11" si="0">SUM(B6:B10)</f>
        <v>0</v>
      </c>
      <c r="C11" s="73">
        <f t="shared" si="0"/>
        <v>115236.52</v>
      </c>
      <c r="D11" s="73">
        <f t="shared" si="0"/>
        <v>95918.88</v>
      </c>
      <c r="E11" s="73">
        <f t="shared" si="0"/>
        <v>18463.060000000001</v>
      </c>
      <c r="F11" s="73">
        <f t="shared" si="0"/>
        <v>141315.16</v>
      </c>
      <c r="G11" s="73">
        <f t="shared" si="0"/>
        <v>25270.28</v>
      </c>
      <c r="H11" s="73">
        <f t="shared" si="0"/>
        <v>90669.53</v>
      </c>
      <c r="I11" s="73">
        <f t="shared" si="0"/>
        <v>132369.34</v>
      </c>
      <c r="J11" s="73">
        <f t="shared" si="0"/>
        <v>54203.900000000009</v>
      </c>
      <c r="K11" s="73">
        <f t="shared" si="0"/>
        <v>270451.77</v>
      </c>
      <c r="L11" s="73">
        <f>SUM(L6:L7)</f>
        <v>60782.229999999996</v>
      </c>
      <c r="M11" s="73">
        <f>SUM(M6:M7)</f>
        <v>53370.13</v>
      </c>
      <c r="N11" s="73">
        <f t="shared" ref="N11:AI11" si="1">SUM(N6:N10)</f>
        <v>0</v>
      </c>
      <c r="O11" s="73">
        <f t="shared" si="1"/>
        <v>118132.44</v>
      </c>
      <c r="P11" s="73">
        <f t="shared" si="1"/>
        <v>133058.93</v>
      </c>
      <c r="Q11" s="73">
        <f t="shared" si="1"/>
        <v>46224.57</v>
      </c>
      <c r="R11" s="73">
        <f t="shared" si="1"/>
        <v>50477</v>
      </c>
      <c r="S11" s="73">
        <f t="shared" si="1"/>
        <v>61167.69</v>
      </c>
      <c r="T11" s="73">
        <f t="shared" si="1"/>
        <v>23480</v>
      </c>
      <c r="U11" s="73">
        <f t="shared" si="1"/>
        <v>68004.66</v>
      </c>
      <c r="V11" s="73">
        <f t="shared" si="1"/>
        <v>67181.95</v>
      </c>
      <c r="W11" s="73">
        <f t="shared" si="1"/>
        <v>17000</v>
      </c>
      <c r="X11" s="73">
        <f t="shared" si="1"/>
        <v>53620.79</v>
      </c>
      <c r="Y11" s="73">
        <f t="shared" si="1"/>
        <v>143459.35999999999</v>
      </c>
      <c r="Z11" s="73">
        <f t="shared" si="1"/>
        <v>57678.979999999996</v>
      </c>
      <c r="AA11" s="73">
        <f t="shared" si="1"/>
        <v>55078.78</v>
      </c>
      <c r="AB11" s="73">
        <f t="shared" si="1"/>
        <v>221092.73</v>
      </c>
      <c r="AC11" s="73">
        <f t="shared" si="1"/>
        <v>223870.71000000002</v>
      </c>
      <c r="AD11" s="73">
        <f t="shared" si="1"/>
        <v>216972.41</v>
      </c>
      <c r="AE11" s="73">
        <f t="shared" si="1"/>
        <v>202280.02</v>
      </c>
      <c r="AF11" s="73">
        <f t="shared" si="1"/>
        <v>153009.13</v>
      </c>
      <c r="AG11" s="73">
        <f>SUM(AG6:AG10)</f>
        <v>118627.63</v>
      </c>
      <c r="AH11" s="73">
        <f>SUM(AH6:AH10)</f>
        <v>297548.83333333331</v>
      </c>
      <c r="AI11" s="73">
        <f t="shared" si="1"/>
        <v>148617.60000000001</v>
      </c>
      <c r="AJ11" s="73">
        <f t="shared" ref="AJ11:AL11" si="2">SUM(AJ6:AJ10)</f>
        <v>163190</v>
      </c>
      <c r="AK11" s="73">
        <f t="shared" si="2"/>
        <v>163000</v>
      </c>
      <c r="AL11" s="73">
        <f t="shared" si="2"/>
        <v>180500</v>
      </c>
    </row>
    <row r="12" spans="1:38" s="59" customFormat="1" x14ac:dyDescent="0.4">
      <c r="A12" s="74"/>
      <c r="B12" s="69"/>
      <c r="C12" s="69"/>
      <c r="D12" s="69"/>
      <c r="E12" s="69"/>
      <c r="F12" s="69"/>
      <c r="G12" s="69"/>
      <c r="H12" s="71"/>
      <c r="I12" s="71"/>
      <c r="J12" s="71"/>
      <c r="K12" s="71"/>
      <c r="L12" s="71"/>
      <c r="M12" s="71"/>
    </row>
    <row r="13" spans="1:38" s="76" customFormat="1" x14ac:dyDescent="0.4">
      <c r="A13" s="75" t="s">
        <v>46</v>
      </c>
      <c r="C13" s="77"/>
      <c r="D13" s="77"/>
      <c r="E13" s="77"/>
    </row>
    <row r="14" spans="1:38" s="76" customFormat="1" ht="12.6" x14ac:dyDescent="0.45">
      <c r="A14" s="68" t="s">
        <v>100</v>
      </c>
      <c r="B14" s="76">
        <f>+'Dettaglio RIBANov19'!B54</f>
        <v>26400</v>
      </c>
      <c r="C14" s="78">
        <f>5378.77+25171.39+50375.89+8379.55-5389.88</f>
        <v>83915.72</v>
      </c>
      <c r="D14" s="76">
        <f>9619.43+66122.34</f>
        <v>75741.76999999999</v>
      </c>
      <c r="E14" s="76">
        <f>6795.81+68821.13</f>
        <v>75616.94</v>
      </c>
      <c r="F14" s="76">
        <f>24641.11+4613.89</f>
        <v>29255</v>
      </c>
      <c r="G14" s="76">
        <f>+'Dettaglio RIBANov19'!G54</f>
        <v>123296.12</v>
      </c>
      <c r="H14" s="76">
        <f>+'Dettaglio RIBANov19'!H54</f>
        <v>37358.49</v>
      </c>
      <c r="I14" s="76">
        <f>+'Dettaglio RIBANov19'!I54</f>
        <v>60739.38</v>
      </c>
      <c r="J14" s="76">
        <f>+'Dettaglio RIBANov19'!J54</f>
        <v>133554.13</v>
      </c>
      <c r="K14" s="76">
        <f>+'Dettaglio RIBANov19'!K54</f>
        <v>4590.8400000000038</v>
      </c>
      <c r="L14" s="76">
        <f>+'Dettaglio RIBANov19'!L54</f>
        <v>41233.449999999997</v>
      </c>
      <c r="M14" s="76">
        <f>+'Dettaglio RIBANov19'!M54</f>
        <v>87822.299999999988</v>
      </c>
      <c r="N14" s="76">
        <f>+'Dettaglio RIBANov19'!N54</f>
        <v>41013.06</v>
      </c>
      <c r="O14" s="76">
        <f>+'Dettaglio RIBANov19'!O54</f>
        <v>105887.51</v>
      </c>
      <c r="P14" s="76">
        <f>+'Dettaglio RIBANov19'!P54</f>
        <v>45372.68</v>
      </c>
      <c r="Q14" s="76">
        <f>+'Dettaglio RIBANov19'!Q54</f>
        <v>16426.23</v>
      </c>
      <c r="R14" s="76">
        <f>+'Dettaglio RIBANov19'!R54</f>
        <v>21768.39</v>
      </c>
      <c r="S14" s="76">
        <f>+'Dettaglio RIBANov19'!S54</f>
        <v>78549.149999999994</v>
      </c>
      <c r="T14" s="76">
        <f>+'Dettaglio RIBANov19'!T54</f>
        <v>54025.96</v>
      </c>
      <c r="U14" s="76">
        <f>+'Dettaglio RIBANov19'!U54</f>
        <v>0</v>
      </c>
      <c r="V14" s="76">
        <f>+'Dettaglio RIBANov19'!V54</f>
        <v>17711.53</v>
      </c>
      <c r="W14" s="76">
        <f>+'Dettaglio RIBANov19'!W54</f>
        <v>1116.3900000000001</v>
      </c>
      <c r="X14" s="76">
        <f>+'Dettaglio RIBANov19'!X54</f>
        <v>60518.94</v>
      </c>
      <c r="Y14" s="76">
        <f>+'Dettaglio RIBANov19'!Y54</f>
        <v>43604.439999999995</v>
      </c>
      <c r="Z14" s="76">
        <f>+'Dettaglio RIBANov19'!Z54</f>
        <v>31822</v>
      </c>
      <c r="AA14" s="76">
        <f>+'Dettaglio RIBANov19'!AA54</f>
        <v>0</v>
      </c>
      <c r="AB14" s="76">
        <f>+'Dettaglio RIBANov19'!AB54</f>
        <v>0</v>
      </c>
      <c r="AC14" s="76">
        <f>+'Dettaglio RIBANov19'!AC54</f>
        <v>0</v>
      </c>
      <c r="AD14" s="76">
        <f>+'Dettaglio RIBANov19'!AD54</f>
        <v>2303.42</v>
      </c>
      <c r="AE14" s="76">
        <f>+'Dettaglio RIBANov19'!AE54</f>
        <v>92408.94</v>
      </c>
      <c r="AF14" s="76">
        <f>+'Dettaglio RIBANov19'!AF54</f>
        <v>61446.84</v>
      </c>
      <c r="AG14" s="76">
        <f>+'Dettaglio RIBANov19'!AG54</f>
        <v>8822</v>
      </c>
      <c r="AH14" s="76">
        <f>+'Dettaglio RIBANov19'!AH54</f>
        <v>82866.509999999995</v>
      </c>
      <c r="AI14" s="76">
        <f>+'Dettaglio RIBANov19'!AI54</f>
        <v>135470.54999999999</v>
      </c>
      <c r="AJ14" s="76">
        <f>+'Dettaglio RIBANov19'!AJ54</f>
        <v>58452.4</v>
      </c>
      <c r="AK14" s="76">
        <f>+'Dettaglio RIBANov19'!AK54</f>
        <v>170820.56333333335</v>
      </c>
      <c r="AL14" s="76">
        <f>+'Dettaglio RIBANov19'!AL54</f>
        <v>304353.59999999998</v>
      </c>
    </row>
    <row r="15" spans="1:38" s="76" customFormat="1" x14ac:dyDescent="0.4">
      <c r="A15" s="68" t="s">
        <v>99</v>
      </c>
      <c r="B15" s="76">
        <f>+'Dettaglio RIBANov19'!B111</f>
        <v>0</v>
      </c>
      <c r="C15" s="76">
        <f>+'Dettaglio RIBANov19'!C111</f>
        <v>0</v>
      </c>
      <c r="D15" s="76">
        <f>+'Dettaglio RIBANov19'!D111</f>
        <v>0</v>
      </c>
      <c r="E15" s="76">
        <f>42437.25+1152</f>
        <v>43589.25</v>
      </c>
      <c r="F15" s="76">
        <v>83817.600000000006</v>
      </c>
      <c r="G15" s="76">
        <f>+'Dettaglio RIBANov19'!G111</f>
        <v>0</v>
      </c>
      <c r="H15" s="76">
        <f>+'Dettaglio RIBANov19'!H111</f>
        <v>21855</v>
      </c>
      <c r="I15" s="76">
        <f>+'Dettaglio RIBANov19'!I111</f>
        <v>28482</v>
      </c>
      <c r="J15" s="76">
        <f>+'Dettaglio RIBANov19'!J111+J17</f>
        <v>74155.570000000007</v>
      </c>
      <c r="K15" s="76">
        <f>+'Dettaglio RIBANov19'!K111</f>
        <v>7200</v>
      </c>
      <c r="L15" s="76">
        <f>+'Dettaglio RIBANov19'!L111</f>
        <v>41307</v>
      </c>
      <c r="M15" s="76">
        <f>+'Dettaglio RIBANov19'!M111+M17</f>
        <v>56396.24</v>
      </c>
      <c r="N15" s="76">
        <f>+'Dettaglio RIBANov19'!N111+N17</f>
        <v>10540</v>
      </c>
      <c r="O15" s="76">
        <f>+'Dettaglio RIBANov19'!O111+O17</f>
        <v>0</v>
      </c>
      <c r="P15" s="76">
        <f>+'Dettaglio RIBANov19'!P111</f>
        <v>0</v>
      </c>
      <c r="Q15" s="76">
        <f>+'Dettaglio RIBANov19'!Q111</f>
        <v>31787.439999999999</v>
      </c>
      <c r="R15" s="76">
        <f>+'Dettaglio RIBANov19'!R111</f>
        <v>31671</v>
      </c>
      <c r="S15" s="76">
        <f>+'Dettaglio RIBANov19'!S111</f>
        <v>56951.6</v>
      </c>
      <c r="T15" s="76">
        <f>+'Dettaglio RIBANov19'!T111</f>
        <v>42944.79</v>
      </c>
      <c r="U15" s="76">
        <f>+'Dettaglio RIBANov19'!U111</f>
        <v>31940</v>
      </c>
      <c r="V15" s="76">
        <f>+'Dettaglio RIBANov19'!V111</f>
        <v>0</v>
      </c>
      <c r="W15" s="76">
        <f>+'Dettaglio RIBANov19'!W111</f>
        <v>35756</v>
      </c>
      <c r="X15" s="76">
        <f>+'Dettaglio RIBANov19'!X111</f>
        <v>3810</v>
      </c>
      <c r="Y15" s="76">
        <f>+'Dettaglio RIBANov19'!Y111</f>
        <v>0</v>
      </c>
      <c r="Z15" s="76">
        <f>+'Dettaglio RIBANov19'!Z111</f>
        <v>18794</v>
      </c>
      <c r="AA15" s="76">
        <f>+'Dettaglio RIBANov19'!AA111</f>
        <v>16500.04</v>
      </c>
      <c r="AB15" s="76">
        <f>+'Dettaglio RIBANov19'!AB111</f>
        <v>20622.580000000002</v>
      </c>
      <c r="AC15" s="76">
        <f>+'Dettaglio RIBANov19'!AC111</f>
        <v>25945.83</v>
      </c>
      <c r="AD15" s="76">
        <f>+'Dettaglio RIBANov19'!AD111</f>
        <v>117202.98</v>
      </c>
      <c r="AE15" s="76">
        <f>+'Dettaglio RIBANov19'!AE111</f>
        <v>47184.78</v>
      </c>
      <c r="AF15" s="76">
        <f>+'Dettaglio RIBANov19'!AF111</f>
        <v>84693.35</v>
      </c>
      <c r="AG15" s="76">
        <f>+'Dettaglio RIBANov19'!AG111</f>
        <v>74750.33</v>
      </c>
      <c r="AH15" s="76">
        <f>+'Dettaglio RIBANov19'!AH111</f>
        <v>37601.26</v>
      </c>
      <c r="AI15" s="76">
        <f>+'Dettaglio RIBANov19'!AI111</f>
        <v>15353.12</v>
      </c>
      <c r="AJ15" s="76">
        <f>+'Dettaglio RIBANov19'!AJ111</f>
        <v>107491.48</v>
      </c>
      <c r="AK15" s="76">
        <f>+'Dettaglio RIBANov19'!AK111</f>
        <v>15424.5</v>
      </c>
      <c r="AL15" s="76">
        <f>+'Dettaglio RIBANov19'!AL111</f>
        <v>0</v>
      </c>
    </row>
    <row r="16" spans="1:38" s="76" customFormat="1" x14ac:dyDescent="0.4">
      <c r="A16" s="68" t="s">
        <v>62</v>
      </c>
      <c r="K16" s="69">
        <f>+'Dettaglio RIBANov19'!K167</f>
        <v>0</v>
      </c>
      <c r="L16" s="69">
        <f>+'Dettaglio RIBANov19'!L167</f>
        <v>0</v>
      </c>
      <c r="M16" s="69">
        <f>+'Dettaglio RIBANov19'!M167</f>
        <v>0</v>
      </c>
      <c r="N16" s="69">
        <f>+'Dettaglio RIBANov19'!N167</f>
        <v>0</v>
      </c>
      <c r="O16" s="69">
        <f>+'Dettaglio RIBANov19'!O167</f>
        <v>0</v>
      </c>
      <c r="P16" s="69">
        <f>+'Dettaglio RIBANov19'!P167</f>
        <v>0</v>
      </c>
      <c r="Q16" s="69">
        <f>+'Dettaglio RIBANov19'!Q167</f>
        <v>0</v>
      </c>
      <c r="R16" s="69">
        <f>+'Dettaglio RIBANov19'!R167</f>
        <v>0</v>
      </c>
      <c r="S16" s="69">
        <f>+'Dettaglio RIBANov19'!S167</f>
        <v>0</v>
      </c>
      <c r="T16" s="69">
        <f>+'Dettaglio RIBANov19'!T167</f>
        <v>0</v>
      </c>
      <c r="U16" s="69">
        <f>+'Dettaglio RIBANov19'!U167</f>
        <v>0</v>
      </c>
      <c r="V16" s="69">
        <f>+'Dettaglio RIBANov19'!V167</f>
        <v>24720</v>
      </c>
      <c r="W16" s="69">
        <f>+'Dettaglio RIBANov19'!W167</f>
        <v>0</v>
      </c>
      <c r="X16" s="69">
        <f>+'Dettaglio RIBANov19'!X167</f>
        <v>0</v>
      </c>
      <c r="Y16" s="69">
        <f>+'Dettaglio RIBANov19'!Y167</f>
        <v>0</v>
      </c>
      <c r="Z16" s="69">
        <f>+'Dettaglio RIBANov19'!Z167</f>
        <v>0</v>
      </c>
      <c r="AA16" s="69">
        <f>+'Dettaglio RIBANov19'!AA167</f>
        <v>6824.4</v>
      </c>
      <c r="AB16" s="69">
        <f>+'Dettaglio RIBANov19'!AB167</f>
        <v>31112.25</v>
      </c>
      <c r="AC16" s="69">
        <f>+'Dettaglio RIBANov19'!AC167</f>
        <v>57618.8</v>
      </c>
      <c r="AD16" s="69">
        <f>+'Dettaglio RIBANov19'!AD167</f>
        <v>0</v>
      </c>
      <c r="AE16" s="69">
        <f>+'Dettaglio RIBANov19'!AE167</f>
        <v>25592.940000000002</v>
      </c>
      <c r="AF16" s="69">
        <f>+'Dettaglio RIBANov19'!AF167</f>
        <v>51341.100000000006</v>
      </c>
      <c r="AG16" s="69">
        <f>+'Dettaglio RIBANov19'!AG167</f>
        <v>10803.74</v>
      </c>
      <c r="AH16" s="69">
        <f>+'Dettaglio RIBANov19'!AH167</f>
        <v>106666.94</v>
      </c>
      <c r="AI16" s="69">
        <f>+'Dettaglio RIBANov19'!AI167</f>
        <v>12951.86</v>
      </c>
      <c r="AJ16" s="69">
        <f>+'Dettaglio RIBANov19'!AJ167</f>
        <v>10761.48</v>
      </c>
      <c r="AK16" s="69">
        <f>+'Dettaglio RIBANov19'!AK167</f>
        <v>17974.09</v>
      </c>
      <c r="AL16" s="69">
        <f>+'Dettaglio RIBANov19'!AL167</f>
        <v>0</v>
      </c>
    </row>
    <row r="17" spans="1:38" s="76" customFormat="1" x14ac:dyDescent="0.4">
      <c r="A17" s="70" t="s">
        <v>69</v>
      </c>
      <c r="J17" s="76">
        <v>74155.570000000007</v>
      </c>
      <c r="M17" s="76">
        <f>-(10200+53755.57)</f>
        <v>-63955.57</v>
      </c>
      <c r="N17" s="76">
        <f>-10200-1813.5-47814.2</f>
        <v>-59827.7</v>
      </c>
      <c r="O17" s="76">
        <v>-24168</v>
      </c>
      <c r="AG17" s="69">
        <f>+'Dettaglio RIBANov19'!AG223</f>
        <v>0</v>
      </c>
      <c r="AH17" s="69">
        <f>+'Dettaglio RIBANov19'!AH223</f>
        <v>0</v>
      </c>
      <c r="AI17" s="69">
        <f>+'Dettaglio RIBANov19'!AI223</f>
        <v>0</v>
      </c>
      <c r="AJ17" s="69">
        <f>+'Dettaglio RIBANov19'!AJ223</f>
        <v>0</v>
      </c>
      <c r="AK17" s="69">
        <f>+'Dettaglio RIBANov19'!AK223</f>
        <v>0</v>
      </c>
      <c r="AL17" s="69">
        <f>+'Dettaglio RIBANov19'!AL223</f>
        <v>61000</v>
      </c>
    </row>
    <row r="18" spans="1:38" s="76" customFormat="1" x14ac:dyDescent="0.4">
      <c r="A18" s="79"/>
    </row>
    <row r="19" spans="1:38" s="86" customFormat="1" x14ac:dyDescent="0.4">
      <c r="A19" s="84" t="s">
        <v>47</v>
      </c>
      <c r="B19" s="85">
        <f t="shared" ref="B19:O19" si="3">SUM(B14:B15)</f>
        <v>26400</v>
      </c>
      <c r="C19" s="85">
        <f t="shared" si="3"/>
        <v>83915.72</v>
      </c>
      <c r="D19" s="85">
        <f t="shared" si="3"/>
        <v>75741.76999999999</v>
      </c>
      <c r="E19" s="85">
        <f t="shared" si="3"/>
        <v>119206.19</v>
      </c>
      <c r="F19" s="85">
        <f t="shared" si="3"/>
        <v>113072.6</v>
      </c>
      <c r="G19" s="85">
        <f t="shared" si="3"/>
        <v>123296.12</v>
      </c>
      <c r="H19" s="85">
        <f t="shared" si="3"/>
        <v>59213.49</v>
      </c>
      <c r="I19" s="85">
        <f t="shared" si="3"/>
        <v>89221.38</v>
      </c>
      <c r="J19" s="85">
        <f t="shared" si="3"/>
        <v>207709.7</v>
      </c>
      <c r="K19" s="85">
        <f t="shared" si="3"/>
        <v>11790.840000000004</v>
      </c>
      <c r="L19" s="85">
        <f t="shared" si="3"/>
        <v>82540.45</v>
      </c>
      <c r="M19" s="85">
        <f t="shared" si="3"/>
        <v>144218.53999999998</v>
      </c>
      <c r="N19" s="85">
        <f t="shared" si="3"/>
        <v>51553.06</v>
      </c>
      <c r="O19" s="85">
        <f t="shared" si="3"/>
        <v>105887.51</v>
      </c>
      <c r="P19" s="85">
        <f t="shared" ref="P19:AF19" si="4">SUM(P14:P16)</f>
        <v>45372.68</v>
      </c>
      <c r="Q19" s="85">
        <f t="shared" si="4"/>
        <v>48213.67</v>
      </c>
      <c r="R19" s="85">
        <f t="shared" si="4"/>
        <v>53439.39</v>
      </c>
      <c r="S19" s="85">
        <f t="shared" si="4"/>
        <v>135500.75</v>
      </c>
      <c r="T19" s="85">
        <f t="shared" si="4"/>
        <v>96970.75</v>
      </c>
      <c r="U19" s="85">
        <f t="shared" si="4"/>
        <v>31940</v>
      </c>
      <c r="V19" s="85">
        <f t="shared" si="4"/>
        <v>42431.53</v>
      </c>
      <c r="W19" s="85">
        <f t="shared" si="4"/>
        <v>36872.39</v>
      </c>
      <c r="X19" s="85">
        <f t="shared" si="4"/>
        <v>64328.94</v>
      </c>
      <c r="Y19" s="85">
        <f t="shared" si="4"/>
        <v>43604.439999999995</v>
      </c>
      <c r="Z19" s="85">
        <f t="shared" si="4"/>
        <v>50616</v>
      </c>
      <c r="AA19" s="85">
        <f t="shared" si="4"/>
        <v>23324.440000000002</v>
      </c>
      <c r="AB19" s="85">
        <f t="shared" si="4"/>
        <v>51734.83</v>
      </c>
      <c r="AC19" s="85">
        <f t="shared" si="4"/>
        <v>83564.63</v>
      </c>
      <c r="AD19" s="85">
        <f t="shared" si="4"/>
        <v>119506.4</v>
      </c>
      <c r="AE19" s="85">
        <f t="shared" si="4"/>
        <v>165186.66</v>
      </c>
      <c r="AF19" s="85">
        <f t="shared" si="4"/>
        <v>197481.29</v>
      </c>
      <c r="AG19" s="85">
        <f>SUM(AG14:AG18)</f>
        <v>94376.07</v>
      </c>
      <c r="AH19" s="85">
        <f>SUM(AH14:AH18)</f>
        <v>227134.71</v>
      </c>
      <c r="AI19" s="85">
        <f>SUM(AI14:AI18)</f>
        <v>163775.52999999997</v>
      </c>
      <c r="AJ19" s="85">
        <f t="shared" ref="AJ19:AL19" si="5">SUM(AJ14:AJ18)</f>
        <v>176705.36000000002</v>
      </c>
      <c r="AK19" s="85">
        <f t="shared" si="5"/>
        <v>204219.15333333335</v>
      </c>
      <c r="AL19" s="85">
        <f t="shared" si="5"/>
        <v>365353.6</v>
      </c>
    </row>
    <row r="20" spans="1:38" s="59" customFormat="1" x14ac:dyDescent="0.4">
      <c r="A20" s="75"/>
      <c r="B20" s="80"/>
      <c r="C20" s="80"/>
      <c r="D20" s="80"/>
      <c r="E20" s="80"/>
      <c r="F20" s="80"/>
      <c r="G20" s="80"/>
      <c r="H20" s="80"/>
      <c r="I20" s="80"/>
      <c r="J20" s="80"/>
      <c r="K20" s="71"/>
      <c r="L20" s="71"/>
      <c r="M20" s="71"/>
      <c r="N20" s="71"/>
      <c r="O20" s="71"/>
      <c r="P20" s="71"/>
    </row>
    <row r="21" spans="1:38" s="59" customFormat="1" x14ac:dyDescent="0.4">
      <c r="A21" s="81" t="s">
        <v>1</v>
      </c>
      <c r="B21" s="82"/>
      <c r="C21" s="64"/>
      <c r="D21" s="64"/>
      <c r="E21" s="64"/>
      <c r="F21" s="64"/>
      <c r="G21" s="64"/>
    </row>
    <row r="22" spans="1:38" s="76" customFormat="1" x14ac:dyDescent="0.4">
      <c r="A22" s="70" t="s">
        <v>26</v>
      </c>
      <c r="K22" s="76">
        <v>43168.99</v>
      </c>
      <c r="M22" s="76">
        <v>7735</v>
      </c>
      <c r="O22" s="76">
        <v>7747</v>
      </c>
      <c r="P22" s="76">
        <f>7746-9305</f>
        <v>-1559</v>
      </c>
      <c r="R22" s="76">
        <v>6833</v>
      </c>
      <c r="S22" s="76">
        <v>-6328.8</v>
      </c>
      <c r="U22" s="76">
        <v>13619.33</v>
      </c>
      <c r="V22" s="76">
        <f>-6334.22+330</f>
        <v>-6004.22</v>
      </c>
      <c r="X22" s="76">
        <v>3164.4</v>
      </c>
      <c r="AD22" s="76">
        <f>-28750-4658-17844.46</f>
        <v>-51252.46</v>
      </c>
      <c r="AE22" s="76">
        <f>30000+26208.86-21599.5</f>
        <v>34609.360000000001</v>
      </c>
    </row>
    <row r="23" spans="1:38" s="76" customFormat="1" x14ac:dyDescent="0.4">
      <c r="A23" s="70" t="s">
        <v>37</v>
      </c>
      <c r="G23" s="76">
        <v>8550</v>
      </c>
      <c r="L23" s="76">
        <f>+L9</f>
        <v>73795.7</v>
      </c>
      <c r="O23" s="76">
        <f>10300*1.2</f>
        <v>12360</v>
      </c>
      <c r="V23" s="76">
        <v>21380.400000000001</v>
      </c>
      <c r="W23" s="76">
        <f>27287.5+(4666*1.2)</f>
        <v>32886.699999999997</v>
      </c>
      <c r="Y23" s="76">
        <f>4000*1.2</f>
        <v>4800</v>
      </c>
      <c r="Z23" s="76">
        <f>12203.74+4000.8</f>
        <v>16204.54</v>
      </c>
      <c r="AA23" s="76">
        <v>15000</v>
      </c>
      <c r="AB23" s="76">
        <f>14944.5+7166</f>
        <v>22110.5</v>
      </c>
      <c r="AC23" s="76">
        <v>6840</v>
      </c>
      <c r="AE23" s="76">
        <v>25776</v>
      </c>
      <c r="AG23" s="76">
        <v>36720</v>
      </c>
      <c r="AH23" s="76">
        <v>3450</v>
      </c>
      <c r="AK23" s="76">
        <v>25000</v>
      </c>
    </row>
    <row r="24" spans="1:38" s="76" customFormat="1" x14ac:dyDescent="0.4">
      <c r="A24" s="70" t="s">
        <v>50</v>
      </c>
    </row>
    <row r="25" spans="1:38" s="76" customFormat="1" x14ac:dyDescent="0.4">
      <c r="A25" s="70" t="s">
        <v>21</v>
      </c>
      <c r="P25" s="76">
        <f>120000+75556</f>
        <v>195556</v>
      </c>
      <c r="U25" s="76">
        <v>250000</v>
      </c>
      <c r="X25" s="76">
        <f>242484-238706.67</f>
        <v>3777.3299999999872</v>
      </c>
      <c r="AJ25" s="76">
        <v>150000</v>
      </c>
    </row>
    <row r="26" spans="1:38" s="76" customFormat="1" x14ac:dyDescent="0.4">
      <c r="A26" s="70" t="s">
        <v>23</v>
      </c>
      <c r="H26" s="76">
        <f>326.4+508.1+643.74</f>
        <v>1478.24</v>
      </c>
      <c r="K26" s="76">
        <f>404.55+426</f>
        <v>830.55</v>
      </c>
      <c r="N26" s="76">
        <v>1188.5999999999999</v>
      </c>
      <c r="P26" s="76">
        <f>48.96+279.77</f>
        <v>328.72999999999996</v>
      </c>
      <c r="Q26" s="76">
        <v>32.1</v>
      </c>
      <c r="U26" s="76">
        <v>366.98</v>
      </c>
      <c r="Y26" s="76">
        <v>657.5</v>
      </c>
      <c r="Z26" s="76">
        <v>912.28</v>
      </c>
      <c r="AA26" s="76">
        <v>252</v>
      </c>
      <c r="AE26" s="76">
        <v>458</v>
      </c>
    </row>
    <row r="27" spans="1:38" s="83" customFormat="1" x14ac:dyDescent="0.4">
      <c r="A27" s="83" t="s">
        <v>2</v>
      </c>
      <c r="B27" s="83">
        <f t="shared" ref="B27:AH27" si="6">SUM(B19:B26)</f>
        <v>26400</v>
      </c>
      <c r="C27" s="83">
        <f t="shared" si="6"/>
        <v>83915.72</v>
      </c>
      <c r="D27" s="83">
        <f t="shared" si="6"/>
        <v>75741.76999999999</v>
      </c>
      <c r="E27" s="83">
        <f t="shared" si="6"/>
        <v>119206.19</v>
      </c>
      <c r="F27" s="83">
        <f t="shared" si="6"/>
        <v>113072.6</v>
      </c>
      <c r="G27" s="83">
        <f t="shared" si="6"/>
        <v>131846.12</v>
      </c>
      <c r="H27" s="83">
        <f t="shared" si="6"/>
        <v>60691.729999999996</v>
      </c>
      <c r="I27" s="83">
        <f t="shared" si="6"/>
        <v>89221.38</v>
      </c>
      <c r="J27" s="83">
        <f t="shared" si="6"/>
        <v>207709.7</v>
      </c>
      <c r="K27" s="83">
        <f t="shared" si="6"/>
        <v>55790.380000000005</v>
      </c>
      <c r="L27" s="83">
        <f t="shared" si="6"/>
        <v>156336.15</v>
      </c>
      <c r="M27" s="83">
        <f t="shared" si="6"/>
        <v>151953.53999999998</v>
      </c>
      <c r="N27" s="83">
        <f t="shared" si="6"/>
        <v>52741.659999999996</v>
      </c>
      <c r="O27" s="83">
        <f t="shared" si="6"/>
        <v>125994.51</v>
      </c>
      <c r="P27" s="83">
        <f t="shared" si="6"/>
        <v>239698.41</v>
      </c>
      <c r="Q27" s="83">
        <f t="shared" si="6"/>
        <v>48245.77</v>
      </c>
      <c r="R27" s="83">
        <f t="shared" si="6"/>
        <v>60272.39</v>
      </c>
      <c r="S27" s="83">
        <f t="shared" si="6"/>
        <v>129171.95</v>
      </c>
      <c r="T27" s="83">
        <f t="shared" si="6"/>
        <v>96970.75</v>
      </c>
      <c r="U27" s="83">
        <f t="shared" si="6"/>
        <v>295926.31</v>
      </c>
      <c r="V27" s="83">
        <f t="shared" si="6"/>
        <v>57807.71</v>
      </c>
      <c r="W27" s="83">
        <f t="shared" si="6"/>
        <v>69759.09</v>
      </c>
      <c r="X27" s="83">
        <f t="shared" si="6"/>
        <v>71270.669999999984</v>
      </c>
      <c r="Y27" s="83">
        <f t="shared" si="6"/>
        <v>49061.939999999995</v>
      </c>
      <c r="Z27" s="83">
        <f t="shared" si="6"/>
        <v>67732.820000000007</v>
      </c>
      <c r="AA27" s="83">
        <f t="shared" si="6"/>
        <v>38576.44</v>
      </c>
      <c r="AB27" s="83">
        <f t="shared" si="6"/>
        <v>73845.33</v>
      </c>
      <c r="AC27" s="83">
        <f t="shared" si="6"/>
        <v>90404.63</v>
      </c>
      <c r="AD27" s="83">
        <f t="shared" si="6"/>
        <v>68253.94</v>
      </c>
      <c r="AE27" s="83">
        <f t="shared" si="6"/>
        <v>226030.02000000002</v>
      </c>
      <c r="AF27" s="83">
        <f t="shared" si="6"/>
        <v>197481.29</v>
      </c>
      <c r="AG27" s="83">
        <f t="shared" si="6"/>
        <v>131096.07</v>
      </c>
      <c r="AH27" s="83">
        <f t="shared" si="6"/>
        <v>230584.71</v>
      </c>
      <c r="AI27" s="83">
        <f>SUM(AI19:AI26)</f>
        <v>163775.52999999997</v>
      </c>
      <c r="AJ27" s="83">
        <f t="shared" ref="AJ27:AL27" si="7">SUM(AJ19:AJ26)</f>
        <v>326705.36</v>
      </c>
      <c r="AK27" s="83">
        <f t="shared" si="7"/>
        <v>229219.15333333335</v>
      </c>
      <c r="AL27" s="83">
        <f t="shared" si="7"/>
        <v>365353.6</v>
      </c>
    </row>
    <row r="28" spans="1:38" s="63" customFormat="1" ht="13.5" customHeight="1" x14ac:dyDescent="0.5">
      <c r="A28" s="62">
        <f>+A3</f>
        <v>2019</v>
      </c>
      <c r="B28" s="63">
        <v>4</v>
      </c>
      <c r="C28" s="63">
        <v>5</v>
      </c>
      <c r="D28" s="63">
        <v>6</v>
      </c>
      <c r="E28" s="63">
        <v>7</v>
      </c>
      <c r="F28" s="63">
        <v>8</v>
      </c>
      <c r="G28" s="63">
        <v>9</v>
      </c>
      <c r="H28" s="63">
        <v>10</v>
      </c>
      <c r="I28" s="63">
        <v>11</v>
      </c>
      <c r="J28" s="63">
        <v>12</v>
      </c>
      <c r="K28" s="63">
        <v>1</v>
      </c>
      <c r="L28" s="63">
        <v>2</v>
      </c>
      <c r="M28" s="63">
        <v>3</v>
      </c>
      <c r="N28" s="63">
        <v>4</v>
      </c>
      <c r="O28" s="63">
        <v>5</v>
      </c>
      <c r="P28" s="63">
        <v>6</v>
      </c>
      <c r="Q28" s="63">
        <v>7</v>
      </c>
      <c r="R28" s="63">
        <v>8</v>
      </c>
      <c r="S28" s="63">
        <v>9</v>
      </c>
      <c r="T28" s="63">
        <v>10</v>
      </c>
      <c r="U28" s="63">
        <v>11</v>
      </c>
      <c r="V28" s="63">
        <v>12</v>
      </c>
      <c r="W28" s="63">
        <v>1</v>
      </c>
      <c r="X28" s="63">
        <v>2</v>
      </c>
      <c r="Y28" s="63">
        <v>3</v>
      </c>
      <c r="Z28" s="63">
        <v>4</v>
      </c>
      <c r="AA28" s="63">
        <v>5</v>
      </c>
      <c r="AB28" s="63">
        <v>6</v>
      </c>
      <c r="AC28" s="63">
        <v>7</v>
      </c>
      <c r="AD28" s="63">
        <v>8</v>
      </c>
      <c r="AE28" s="63">
        <v>9</v>
      </c>
      <c r="AF28" s="63">
        <v>10</v>
      </c>
      <c r="AG28" s="63">
        <v>11</v>
      </c>
      <c r="AH28" s="63">
        <v>12</v>
      </c>
      <c r="AI28" s="63">
        <v>1</v>
      </c>
      <c r="AJ28" s="63">
        <v>2</v>
      </c>
      <c r="AK28" s="63">
        <v>3</v>
      </c>
      <c r="AL28" s="63">
        <v>4</v>
      </c>
    </row>
    <row r="29" spans="1:38" s="59" customFormat="1" x14ac:dyDescent="0.4">
      <c r="A29" s="59" t="s">
        <v>3</v>
      </c>
    </row>
    <row r="30" spans="1:38" s="91" customFormat="1" x14ac:dyDescent="0.4">
      <c r="A30" s="90" t="s">
        <v>4</v>
      </c>
    </row>
    <row r="31" spans="1:38" s="76" customFormat="1" x14ac:dyDescent="0.4">
      <c r="A31" s="70" t="s">
        <v>43</v>
      </c>
      <c r="B31" s="76">
        <v>-24120</v>
      </c>
      <c r="C31" s="76">
        <f>-59244.1-1531.09+30.01-6264.62-1200</f>
        <v>-68209.799999999988</v>
      </c>
      <c r="D31" s="76">
        <f>-224.78-164.89-37.64-375.88-54.82-98.42-147.98-413.52-1080.62-214.8-105.66-220.8-69.6-1138.74-597.62-37.58-215.76-83.87-12472.73-818.02-1746-223.2-334.44-158.4</f>
        <v>-21035.77</v>
      </c>
      <c r="E31" s="76">
        <f>-231.61-1069.94-1393.18-270.07-155.79-214</f>
        <v>-3334.5900000000006</v>
      </c>
      <c r="F31" s="76">
        <f>-56.4-572.16-229.54-376.46-350.4-834.91-57.06-9732.04-248.4-4382.99-63.05-108.44-157.29-664.95-12282.76-29.09-600.86-2623.97-46.98-297.6-189.67</f>
        <v>-33905.019999999997</v>
      </c>
      <c r="G31" s="76">
        <f>-272.18-326.4-229.19-155-124.94-124.67-218.06-135.72-438-741-86.8-163.24-121.92-12431.17-540.95-705.6-508.1-198.31-643.74-37.58-205.07-1124.52-144-99.79-72.6-369.53-151.2-902.11-124.96-746.98-229.19-60.12-385.97-312.05-664.94-226.92-98.78-79.87-180-59.54-66.38-1192</f>
        <v>-25699.089999999997</v>
      </c>
      <c r="H31" s="76">
        <f>-1610.45-98.4-103.27-556.91-121.91-273.94-163.2-153.76-413.44-276-944.48-1947.7-46.98</f>
        <v>-6710.44</v>
      </c>
      <c r="I31" s="76">
        <f>-393.6-8653.04-479.75-62.4-240-204.93-6586.32</f>
        <v>-16620.04</v>
      </c>
      <c r="J31" s="76">
        <f>-157.25-819.6-600-80.11-6553.54+481.71-2047.34-61.56-143.14-223.13-746.39-43168.99-0.35</f>
        <v>-54119.689999999995</v>
      </c>
      <c r="K31" s="76">
        <f>-480-480-10767.6-14129.04-645-1122.77-141.6-147.57-47.43-42-413.83+0.35</f>
        <v>-28416.49</v>
      </c>
      <c r="L31" s="76">
        <f>-559.13-2763.6-211.7-370.45-105.4-3992.16-13915.67-69.78-1419.84-8630.83-2047.51-343.01-21.45-1134-57.01-1469.12-37.58-89.44-71.81-1087.43-414.41-644.11-176.28-136.51-70.68-363.29-326.14-95.42-272.89-73.08-180.95-230.88-74.68-842.69-83.86-418.74-(651.71+288+124.03+130.98+4144.57+947.64+37.58+477.61+2157.79+770.4+125.52+654+5413.03+50.4+363.29+782.45+1031.52+192.11+71.79+3603.1+235.38+162.72+147.52+74.67+180.94+7.72+721.56+188.45+287.81+333.69+291.06+278.88+796.27+567)-135.2-196.49-14433.6+180</f>
        <v>-83678.010000000024</v>
      </c>
      <c r="M31" s="76">
        <f>-147.56-46.98-32.23-278.4-1492.34-265.36-546-2160-348.24-1225.32-4416-378.06-657.99-373.8-99.97-243.1-147.51-960-540-798-333.67-663.48-311.52-734.16-831.4-412.7-1866.96-4144.56-1350.06-6641.28-11815.8-750-109.2-317.87+2195.91-2377.2</f>
        <v>-45620.81</v>
      </c>
      <c r="N31" s="76">
        <f>-1586.55-600-144-500-781.92-681.8-210-92.44-240-240.6-52-176.4</f>
        <v>-5305.71</v>
      </c>
      <c r="O31" s="76">
        <f>-784.4-42.43-86.28-372-340.21-502.01-200.16-641.28-129.08-165-807.58-63.6-378.06-12.53-94.36-96.43-25.42-206.68-180.96-153.23-186-123.05-4144.56-138.7-299.92-778.8-96-477.32-37.58-603.6-32.57-149.97-462-134.62-1047.72-696.31-309.12-1747.12-55.2-37.58-402.7-187.63-11798.88-1068-306.78-1821.66-6738.48-1306.03-66.95-1740.42-247.9-595.92-225.96-206.67-94.07-77.68-155.4-882-175.44-10258-11.78-47.04-474.12-103.1-955.21-641.28-364.95-242.4-310.78-235.98-1050.4+478.29-610.42</f>
        <v>-59765.179999999993</v>
      </c>
      <c r="P31" s="76">
        <f>-576-202.61-541.26-5369.86-12408-82.8-1266.19-874.32-2142.54-100.8-161.06-2945.47-265.25-319.18-173.89-201.31-465.72-77.67-468.66-210.84-483.66-46.98-229.27-5550.66-151.96-165.6-456.24-1230.34-1235.59-186-131.71-576-86.8-222.84+0.9</f>
        <v>-39606.179999999986</v>
      </c>
      <c r="Q31" s="76">
        <f>-1339.2-453.84-47.5-212.45-28423.92-183.6-291.6-164.81-728.59-200.16-521.74-643.34-426-332.69-88.24-880.11-180.86-681.42-592.52-586.52-34.45-140.71-385.78-1004.01-800.6-689.88-37.58-193.2-201.31-1617.6-94.8-309.3-90-151.82+404.17</f>
        <v>-42325.979999999981</v>
      </c>
      <c r="R31" s="76">
        <f>-116.96-137.15-480-450-688.32-721.15-176.18-300-130.98-776.47-2596.84-217.68-18482.16-383.34-89.03</f>
        <v>-25746.26</v>
      </c>
      <c r="S31" s="76">
        <f>-180.14-37.58-4271.66-140.95-4610.28-290.4-164.81-381.67-475.81-498.56-71.56-47.56-99.16-425.88-650.98-327.23-820.46-65.72-977.71-1579.62-180.96-120-212.45-27.35-305.14-1263.91-1024.44-1460.09-168-19.45-65635.93-58.96</f>
        <v>-86594.42</v>
      </c>
      <c r="T31" s="76">
        <f>-619.74-375.55-176.18-198.38-1156.8-62.4-108</f>
        <v>-2697.0499999999997</v>
      </c>
      <c r="U31" s="76">
        <f>-33052.39-501.3</f>
        <v>-33553.69</v>
      </c>
      <c r="V31" s="76">
        <f>-101.22-3791.24-285.55-232.79-262.81-1080-233.91-198</f>
        <v>-6185.5199999999995</v>
      </c>
      <c r="W31" s="76">
        <f>-36834.6-155.06-208.23-1380.18-300-3805.43</f>
        <v>-42683.5</v>
      </c>
      <c r="X31" s="76">
        <f>-24637.9-155.42-114.56-114.8-229.3-219.13-300</f>
        <v>-25771.11</v>
      </c>
      <c r="Y31" s="76">
        <f>-13401.74-2067.6-862.37-16.31-147.5-2067.4-1688.1-25736.74</f>
        <v>-45987.76</v>
      </c>
      <c r="Z31" s="76">
        <f>-774.4-163.62-15.92-352.8-720-55.94-66735.69</f>
        <v>-68818.37</v>
      </c>
      <c r="AA31" s="76">
        <f>39600+2789-1586.65-465.61-648-88.74-3160-214.03-2903.68-740-1980-20888.66-3795.21-16541.35-300-300-374.4+5920.46</f>
        <v>-5676.8699999999963</v>
      </c>
      <c r="AB31" s="76">
        <f>-23527.85-5007.38-2259.6-2109.42-151.1-298.08-381-423.67-66851.34</f>
        <v>-101009.44</v>
      </c>
      <c r="AC31" s="76">
        <f>-152.72-1800-360-131.8-45.6-2658-20820.12-1800</f>
        <v>-27768.239999999998</v>
      </c>
      <c r="AD31" s="76">
        <f>-11662.42-15546.69-10060.87-3922.67-16865.55-113.05-1080-556.3+1112.2</f>
        <v>-58695.350000000006</v>
      </c>
      <c r="AE31" s="76">
        <f>-8991.38-3154.8-2010-13944.18-3047.04-123.02-1217.88-255.02-104.74-108.58-96-128.6-245.83-7548.1-13293.91-4433.01-172.97-7822.72-56074.05-948-2727.6+209.57+13900</f>
        <v>-112337.86</v>
      </c>
      <c r="AF31" s="76">
        <f>-900-55648.99</f>
        <v>-56548.99</v>
      </c>
      <c r="AG31" s="76">
        <v>-53000</v>
      </c>
      <c r="AH31" s="76">
        <v>-50000</v>
      </c>
      <c r="AI31" s="76">
        <f>-40000-40000</f>
        <v>-80000</v>
      </c>
      <c r="AJ31" s="76">
        <v>-145677</v>
      </c>
      <c r="AK31" s="76">
        <v>-75000</v>
      </c>
      <c r="AL31" s="76">
        <v>-90000</v>
      </c>
    </row>
    <row r="32" spans="1:38" s="76" customFormat="1" x14ac:dyDescent="0.4">
      <c r="A32" s="70" t="s">
        <v>30</v>
      </c>
      <c r="C32" s="76">
        <f>-185.22-72-612</f>
        <v>-869.22</v>
      </c>
      <c r="D32" s="76">
        <f>-182.64-13677.41-97.56-134.88-62.4-42.9-157.3-744.08</f>
        <v>-15099.169999999996</v>
      </c>
      <c r="G32" s="76">
        <f>-758.16-343.98-760.31-818.39-250.66-125.42-6341.95-643.74-76.26-1233.22-954.1</f>
        <v>-12306.189999999999</v>
      </c>
      <c r="H32" s="76">
        <f>-62.64-540.54-261.68-163.22-3700.42-809.68-214.38</f>
        <v>-5752.56</v>
      </c>
      <c r="I32" s="76">
        <v>-299.62</v>
      </c>
    </row>
    <row r="33" spans="1:38" s="76" customFormat="1" x14ac:dyDescent="0.4">
      <c r="A33" s="70" t="s">
        <v>31</v>
      </c>
      <c r="C33" s="76">
        <f>-234.05-859.07-315.7-8.88-48.79</f>
        <v>-1466.4900000000002</v>
      </c>
      <c r="D33" s="76">
        <f>-442.4-136.51</f>
        <v>-578.91</v>
      </c>
      <c r="E33" s="76">
        <f>-1000-243.23-2676.27</f>
        <v>-3919.5</v>
      </c>
      <c r="F33" s="76">
        <f>-500-270.68</f>
        <v>-770.68000000000006</v>
      </c>
      <c r="G33" s="76">
        <f>-515.28-37.58-39.6-360-292.02-590.67-90.67-619.74-376.31-800-340.32</f>
        <v>-4062.1900000000005</v>
      </c>
      <c r="H33" s="76">
        <f>-360-57.6-376.76-478.68-2.68-590.67-700-600</f>
        <v>-3166.39</v>
      </c>
      <c r="I33" s="76">
        <f>-591.67-163.73</f>
        <v>-755.4</v>
      </c>
      <c r="J33" s="76">
        <f>-119.95-190.6-380-1000-1000</f>
        <v>-2690.55</v>
      </c>
      <c r="K33" s="76">
        <v>-700</v>
      </c>
      <c r="L33" s="76">
        <v>-398.22</v>
      </c>
      <c r="M33" s="76">
        <f>-2936.76-500-500-174.62-204-209.66</f>
        <v>-4525.04</v>
      </c>
      <c r="O33" s="76">
        <f>-109.55-721.15</f>
        <v>-830.69999999999993</v>
      </c>
      <c r="P33" s="76">
        <f>-171.44-567-115.82-721.15-400</f>
        <v>-1975.4099999999999</v>
      </c>
      <c r="Q33" s="76">
        <f>-1080-721.15-127.99</f>
        <v>-1929.14</v>
      </c>
      <c r="S33" s="76">
        <f>-83.72-230.32-300-700-721.15</f>
        <v>-2035.19</v>
      </c>
      <c r="U33" s="76">
        <f>-600-576-26.2-52.44-61.98</f>
        <v>-1316.6200000000001</v>
      </c>
      <c r="Y33" s="76">
        <f>-300-189.34-213.67-180</f>
        <v>-883.01</v>
      </c>
      <c r="Z33" s="76">
        <f>-200-250-267.9-100.74-722.4</f>
        <v>-1541.04</v>
      </c>
      <c r="AB33" s="76">
        <f>-263.17-740-154.75</f>
        <v>-1157.92</v>
      </c>
      <c r="AC33" s="76">
        <f>-172.62-164.89-360-65.4-600</f>
        <v>-1362.9099999999999</v>
      </c>
      <c r="AD33" s="76">
        <f>-2000-129.95-740-702-215.82</f>
        <v>-3787.77</v>
      </c>
      <c r="AE33" s="76">
        <f>-378.97-172.9-740-2400-4800-619.74-500</f>
        <v>-9611.6099999999988</v>
      </c>
      <c r="AF33" s="76">
        <f>-758.8-2000-209.3-94.92-180</f>
        <v>-3243.0200000000004</v>
      </c>
      <c r="AG33" s="76">
        <v>-1250</v>
      </c>
      <c r="AH33" s="76">
        <v>-1250</v>
      </c>
      <c r="AI33" s="76">
        <v>-1000</v>
      </c>
      <c r="AJ33" s="76">
        <v>-1000</v>
      </c>
      <c r="AK33" s="76">
        <v>-1000</v>
      </c>
      <c r="AL33" s="76">
        <v>-1000</v>
      </c>
    </row>
    <row r="34" spans="1:38" s="76" customFormat="1" x14ac:dyDescent="0.4">
      <c r="A34" s="70" t="s">
        <v>42</v>
      </c>
      <c r="B34" s="76">
        <v>-2580</v>
      </c>
      <c r="C34" s="76">
        <f>-877-209+599.5</f>
        <v>-486.5</v>
      </c>
      <c r="D34" s="76">
        <f>-909.1-50-224-145-3-23</f>
        <v>-1354.1</v>
      </c>
      <c r="E34" s="76">
        <f>-143.31-669-92.5-2.97-21.24</f>
        <v>-929.02</v>
      </c>
      <c r="F34" s="76">
        <v>-1595.81</v>
      </c>
      <c r="G34" s="76">
        <f>-631.5-56.5-299.09-619.65</f>
        <v>-1606.7399999999998</v>
      </c>
      <c r="H34" s="76">
        <v>-950.69</v>
      </c>
      <c r="I34" s="76">
        <f>-115-471-4.38-61.4-863.73-301</f>
        <v>-1816.51</v>
      </c>
      <c r="J34" s="76">
        <f>-1067.37-52.27-316.64</f>
        <v>-1436.2799999999997</v>
      </c>
      <c r="K34" s="76">
        <f>-181-679.5-178-490-843.92-298.16</f>
        <v>-2670.58</v>
      </c>
      <c r="L34" s="76">
        <f>-85-1030.95-992-437</f>
        <v>-2544.9499999999998</v>
      </c>
      <c r="M34" s="76">
        <f>-1794.85-1014.18-147-489-227-467</f>
        <v>-4139.03</v>
      </c>
      <c r="N34" s="76">
        <f>-733-372-1009.36</f>
        <v>-2114.36</v>
      </c>
      <c r="O34" s="76">
        <f>-492-146-106-298.09-992.62-331-619</f>
        <v>-2984.71</v>
      </c>
      <c r="P34" s="76">
        <f>-847.21-193-41</f>
        <v>-1081.21</v>
      </c>
      <c r="Q34" s="76">
        <f>-145.5-616.5-841.04-19-75-298.09-330</f>
        <v>-2325.13</v>
      </c>
      <c r="R34" s="76">
        <f>-108.2-69-397.33-39</f>
        <v>-613.53</v>
      </c>
      <c r="S34" s="76">
        <f>-1387.5-298.09-11-81-304.5-557</f>
        <v>-2639.09</v>
      </c>
      <c r="T34" s="76">
        <f>-117-10-1029.07</f>
        <v>-1156.07</v>
      </c>
      <c r="U34" s="76">
        <f>-114-330-68-96-100-298.09-1115.25</f>
        <v>-2121.34</v>
      </c>
      <c r="V34" s="76">
        <v>-63.94</v>
      </c>
      <c r="W34" s="76">
        <f>-156-21-147-623.5-1890.17-298.09-42</f>
        <v>-3177.76</v>
      </c>
      <c r="X34" s="76">
        <f>-223-481-967.34</f>
        <v>-1671.3400000000001</v>
      </c>
      <c r="Y34" s="76">
        <f>-267-616-160-467.5-113-1066.07-1305.15</f>
        <v>-3994.72</v>
      </c>
      <c r="Z34" s="76">
        <f>-402-601-1019.25</f>
        <v>-2022.25</v>
      </c>
      <c r="AA34" s="76">
        <f>-629-817-162-768.5-298.09-68-238-309</f>
        <v>-3289.59</v>
      </c>
      <c r="AB34" s="76">
        <v>-1081.08</v>
      </c>
      <c r="AC34" s="76">
        <f>-197-157-178-847-299.11-1070.21-250-740-1962-25-161</f>
        <v>-5886.32</v>
      </c>
      <c r="AD34" s="76">
        <v>-1676.54</v>
      </c>
      <c r="AE34" s="76">
        <f>-39-128-589-160-773.11-25-261-299.11</f>
        <v>-2274.2200000000003</v>
      </c>
      <c r="AF34" s="76">
        <f>-52.5-1312.68</f>
        <v>-1365.18</v>
      </c>
      <c r="AG34" s="76">
        <f>-1400-500-600</f>
        <v>-2500</v>
      </c>
      <c r="AH34" s="76">
        <v>-2500</v>
      </c>
      <c r="AI34" s="76">
        <v>-3500</v>
      </c>
      <c r="AJ34" s="76">
        <v>-3500</v>
      </c>
      <c r="AK34" s="76">
        <v>-3500</v>
      </c>
      <c r="AL34" s="76">
        <v>-3500</v>
      </c>
    </row>
    <row r="35" spans="1:38" s="76" customFormat="1" x14ac:dyDescent="0.4">
      <c r="A35" s="70"/>
      <c r="H35" s="76">
        <v>-23013</v>
      </c>
    </row>
    <row r="36" spans="1:38" s="76" customFormat="1" ht="12.6" x14ac:dyDescent="0.45">
      <c r="A36" s="70" t="s">
        <v>25</v>
      </c>
      <c r="B36" s="78">
        <v>-6000</v>
      </c>
      <c r="C36" s="76">
        <v>-6000</v>
      </c>
      <c r="D36" s="76">
        <v>-6000</v>
      </c>
      <c r="E36" s="76">
        <v>-6000</v>
      </c>
      <c r="F36" s="76">
        <v>-6000</v>
      </c>
      <c r="G36" s="76">
        <v>-6000</v>
      </c>
      <c r="H36" s="76">
        <v>-6000</v>
      </c>
      <c r="I36" s="76">
        <v>-12000</v>
      </c>
      <c r="K36" s="76">
        <v>-6000</v>
      </c>
      <c r="L36" s="76">
        <v>-6138</v>
      </c>
      <c r="M36" s="76">
        <v>-6138</v>
      </c>
      <c r="N36" s="76">
        <v>-6138</v>
      </c>
      <c r="O36" s="76">
        <v>-6138</v>
      </c>
      <c r="P36" s="76">
        <v>-6138</v>
      </c>
      <c r="Q36" s="76">
        <v>-6138</v>
      </c>
      <c r="R36" s="76">
        <v>-6138</v>
      </c>
      <c r="S36" s="76">
        <v>-6138</v>
      </c>
      <c r="T36" s="76">
        <v>0</v>
      </c>
      <c r="U36" s="76">
        <f>-6138*2</f>
        <v>-12276</v>
      </c>
      <c r="V36" s="76">
        <f>-6138</f>
        <v>-6138</v>
      </c>
      <c r="W36" s="76">
        <v>0</v>
      </c>
      <c r="X36" s="76">
        <v>0</v>
      </c>
      <c r="Y36" s="76">
        <v>0</v>
      </c>
      <c r="Z36" s="76">
        <f>-6260.76*2-6138</f>
        <v>-18659.52</v>
      </c>
      <c r="AA36" s="76">
        <f>-6260.76</f>
        <v>-6260.76</v>
      </c>
      <c r="AB36" s="76">
        <v>0</v>
      </c>
      <c r="AC36" s="76">
        <v>0</v>
      </c>
      <c r="AD36" s="76">
        <v>0</v>
      </c>
      <c r="AE36" s="76">
        <f>-6260.76*5</f>
        <v>-31303.800000000003</v>
      </c>
      <c r="AF36" s="76">
        <f>-6260.76</f>
        <v>-6260.76</v>
      </c>
      <c r="AG36" s="76">
        <f>-6260.76</f>
        <v>-6260.76</v>
      </c>
      <c r="AH36" s="76">
        <f>-6260.76</f>
        <v>-6260.76</v>
      </c>
      <c r="AI36" s="76">
        <f>-6260.76</f>
        <v>-6260.76</v>
      </c>
      <c r="AJ36" s="76">
        <f t="shared" ref="AJ36:AL36" si="8">-6260.76</f>
        <v>-6260.76</v>
      </c>
      <c r="AK36" s="76">
        <f t="shared" si="8"/>
        <v>-6260.76</v>
      </c>
      <c r="AL36" s="76">
        <f t="shared" si="8"/>
        <v>-6260.76</v>
      </c>
    </row>
    <row r="37" spans="1:38" s="76" customFormat="1" ht="12.6" x14ac:dyDescent="0.45">
      <c r="A37" s="70" t="s">
        <v>33</v>
      </c>
      <c r="B37" s="78"/>
      <c r="C37" s="76">
        <v>-23888.82</v>
      </c>
      <c r="E37" s="78"/>
      <c r="F37" s="76">
        <f>-8211.3-8649.39</f>
        <v>-16860.689999999999</v>
      </c>
      <c r="H37" s="76">
        <f>-6579.79-7790.84</f>
        <v>-14370.630000000001</v>
      </c>
      <c r="K37" s="76">
        <f>-6520.95-5988.09</f>
        <v>-12509.04</v>
      </c>
      <c r="M37" s="87"/>
      <c r="O37" s="76">
        <v>-23336.62</v>
      </c>
      <c r="AE37" s="76">
        <v>-7500</v>
      </c>
      <c r="AH37" s="76">
        <v>-7500</v>
      </c>
      <c r="AK37" s="76">
        <v>-7500</v>
      </c>
    </row>
    <row r="38" spans="1:38" s="76" customFormat="1" x14ac:dyDescent="0.4">
      <c r="L38" s="87"/>
      <c r="M38" s="87"/>
    </row>
    <row r="39" spans="1:38" s="76" customFormat="1" x14ac:dyDescent="0.4">
      <c r="A39" s="76" t="s">
        <v>96</v>
      </c>
      <c r="I39" s="87"/>
      <c r="K39" s="76">
        <v>-2871.34</v>
      </c>
      <c r="M39" s="87"/>
      <c r="W39" s="76">
        <v>-4622.09</v>
      </c>
      <c r="AI39" s="76">
        <v>-4700</v>
      </c>
    </row>
    <row r="40" spans="1:38" s="76" customFormat="1" x14ac:dyDescent="0.4">
      <c r="A40" s="70" t="s">
        <v>97</v>
      </c>
      <c r="K40" s="76">
        <v>-1750</v>
      </c>
      <c r="AH40" s="76">
        <v>-5500</v>
      </c>
    </row>
    <row r="41" spans="1:38" s="76" customFormat="1" x14ac:dyDescent="0.4">
      <c r="A41" s="70"/>
    </row>
    <row r="42" spans="1:38" s="76" customFormat="1" x14ac:dyDescent="0.4">
      <c r="A42" s="70" t="s">
        <v>38</v>
      </c>
      <c r="B42" s="76">
        <v>-12000</v>
      </c>
      <c r="C42" s="76">
        <v>-11451</v>
      </c>
      <c r="D42" s="76">
        <f>-9188-7767.57+5250</f>
        <v>-11705.57</v>
      </c>
      <c r="E42" s="76">
        <f>-9570-1891</f>
        <v>-11461</v>
      </c>
      <c r="F42" s="76">
        <f>-11680-3745</f>
        <v>-15425</v>
      </c>
      <c r="G42" s="76">
        <f>-6245-8746-2150.53-2255.63+5250</f>
        <v>-14147.16</v>
      </c>
      <c r="H42" s="76">
        <f>-7321-9339+5250</f>
        <v>-11410</v>
      </c>
      <c r="I42" s="76">
        <f>-18341-9464-I46</f>
        <v>-22555</v>
      </c>
      <c r="J42" s="76">
        <f>-3428-5876-10950-7784-J46+9012.46</f>
        <v>-13775.54</v>
      </c>
      <c r="K42" s="76">
        <f>-7321-9339+5250-9012.46</f>
        <v>-20422.46</v>
      </c>
      <c r="L42" s="76">
        <f>-16511.81+5250</f>
        <v>-11261.810000000001</v>
      </c>
      <c r="M42" s="76">
        <f>-15533+5250</f>
        <v>-10283</v>
      </c>
      <c r="N42" s="76">
        <f>-18655.44-N46</f>
        <v>-13405.439999999999</v>
      </c>
      <c r="O42" s="76">
        <f>-9317-7942-O46</f>
        <v>-12009</v>
      </c>
      <c r="P42" s="76">
        <f>-7910-9342+5250</f>
        <v>-12002</v>
      </c>
      <c r="Q42" s="76">
        <f>-8288-9492+5250</f>
        <v>-12530</v>
      </c>
      <c r="R42" s="76">
        <f>-9929+5250-10472</f>
        <v>-15151</v>
      </c>
      <c r="S42" s="76">
        <f>-7732-9233+5250</f>
        <v>-11715</v>
      </c>
      <c r="T42" s="76">
        <f>-7607-3907</f>
        <v>-11514</v>
      </c>
      <c r="U42" s="76">
        <v>-11335</v>
      </c>
      <c r="V42" s="82">
        <f>-4407-8257-35-6592-3569</f>
        <v>-22860</v>
      </c>
      <c r="W42" s="76">
        <f>-8729-4817</f>
        <v>-13546</v>
      </c>
      <c r="X42" s="76">
        <f>-7641-4709</f>
        <v>-12350</v>
      </c>
      <c r="Y42" s="76">
        <f>-7237-9233-Y46-484.2</f>
        <v>-11704.2</v>
      </c>
      <c r="Z42" s="76">
        <f>-9504-10457+5250</f>
        <v>-14711</v>
      </c>
      <c r="AA42" s="76">
        <f>-18174-AA46</f>
        <v>-12924</v>
      </c>
      <c r="AB42" s="76">
        <f>-950.64-20330-AB46</f>
        <v>-16030.64</v>
      </c>
      <c r="AC42" s="76">
        <f>-19367+5250-451</f>
        <v>-14568</v>
      </c>
      <c r="AD42" s="76">
        <f>-17749-950</f>
        <v>-18699</v>
      </c>
      <c r="AE42" s="76">
        <f>-15104-13900</f>
        <v>-29004</v>
      </c>
      <c r="AF42" s="76">
        <f>-15161-11220.05</f>
        <v>-26381.05</v>
      </c>
      <c r="AG42" s="76">
        <f>-15300-8700</f>
        <v>-24000</v>
      </c>
      <c r="AH42" s="76">
        <f>-28000-6200-950</f>
        <v>-35150</v>
      </c>
      <c r="AI42" s="76">
        <v>-29000</v>
      </c>
      <c r="AJ42" s="76">
        <v>-29000</v>
      </c>
      <c r="AK42" s="76">
        <v>-29000</v>
      </c>
      <c r="AL42" s="76">
        <v>-29000</v>
      </c>
    </row>
    <row r="43" spans="1:38" s="76" customFormat="1" x14ac:dyDescent="0.4">
      <c r="A43" s="70" t="s">
        <v>39</v>
      </c>
      <c r="B43" s="76">
        <v>-9000</v>
      </c>
      <c r="C43" s="76">
        <f>-10472.61-C47</f>
        <v>-7912.6500000000005</v>
      </c>
      <c r="D43" s="76">
        <f>-9103.11+2559.96</f>
        <v>-6543.1500000000005</v>
      </c>
      <c r="G43" s="76">
        <v>-8518.14</v>
      </c>
      <c r="H43" s="76">
        <v>-9559.15</v>
      </c>
      <c r="I43" s="76">
        <f>-3770.85-5624.7</f>
        <v>-9395.5499999999993</v>
      </c>
      <c r="J43" s="76">
        <f>-11759.73-J47</f>
        <v>-9199.77</v>
      </c>
      <c r="T43" s="76">
        <v>-3786.84</v>
      </c>
      <c r="U43" s="76">
        <v>-7556.03</v>
      </c>
      <c r="V43" s="76">
        <v>-8968.2999999999993</v>
      </c>
      <c r="W43" s="76">
        <v>0</v>
      </c>
      <c r="X43" s="76">
        <v>0</v>
      </c>
      <c r="Y43" s="76">
        <v>0</v>
      </c>
      <c r="AG43" s="76">
        <v>-6000</v>
      </c>
      <c r="AH43" s="76">
        <v>-18000</v>
      </c>
      <c r="AI43" s="76">
        <v>-13000</v>
      </c>
      <c r="AJ43" s="76">
        <v>-13000</v>
      </c>
      <c r="AK43" s="76">
        <v>-13000</v>
      </c>
      <c r="AL43" s="76">
        <v>-13000</v>
      </c>
    </row>
    <row r="44" spans="1:38" s="76" customFormat="1" x14ac:dyDescent="0.4">
      <c r="A44" s="70" t="s">
        <v>113</v>
      </c>
      <c r="AI44" s="76">
        <v>-2000</v>
      </c>
      <c r="AJ44" s="76">
        <v>-2000</v>
      </c>
      <c r="AK44" s="76">
        <v>-2000</v>
      </c>
      <c r="AL44" s="76">
        <v>-2000</v>
      </c>
    </row>
    <row r="45" spans="1:38" s="76" customFormat="1" x14ac:dyDescent="0.4">
      <c r="A45" s="70"/>
    </row>
    <row r="46" spans="1:38" s="76" customFormat="1" x14ac:dyDescent="0.4">
      <c r="A46" s="70" t="s">
        <v>40</v>
      </c>
      <c r="B46" s="76">
        <v>-1750</v>
      </c>
      <c r="C46" s="76">
        <f>-1750*3</f>
        <v>-5250</v>
      </c>
      <c r="D46" s="76">
        <v>-5250</v>
      </c>
      <c r="E46" s="76">
        <v>-5250</v>
      </c>
      <c r="F46" s="76">
        <v>-5250</v>
      </c>
      <c r="G46" s="76">
        <v>-5250</v>
      </c>
      <c r="H46" s="76">
        <f>-1750*3</f>
        <v>-5250</v>
      </c>
      <c r="I46" s="76">
        <f>-1750*3</f>
        <v>-5250</v>
      </c>
      <c r="J46" s="76">
        <f>-1750*3</f>
        <v>-5250</v>
      </c>
      <c r="K46" s="76">
        <v>-5250</v>
      </c>
      <c r="L46" s="76">
        <f t="shared" ref="L46:S46" si="9">-1750*3</f>
        <v>-5250</v>
      </c>
      <c r="M46" s="76">
        <f t="shared" si="9"/>
        <v>-5250</v>
      </c>
      <c r="N46" s="76">
        <f t="shared" si="9"/>
        <v>-5250</v>
      </c>
      <c r="O46" s="76">
        <f t="shared" si="9"/>
        <v>-5250</v>
      </c>
      <c r="P46" s="76">
        <f t="shared" si="9"/>
        <v>-5250</v>
      </c>
      <c r="Q46" s="76">
        <f t="shared" si="9"/>
        <v>-5250</v>
      </c>
      <c r="R46" s="76">
        <f t="shared" si="9"/>
        <v>-5250</v>
      </c>
      <c r="S46" s="76">
        <f t="shared" si="9"/>
        <v>-5250</v>
      </c>
      <c r="T46" s="76">
        <v>0</v>
      </c>
      <c r="U46" s="76">
        <v>0</v>
      </c>
      <c r="V46" s="76">
        <v>0</v>
      </c>
      <c r="W46" s="76">
        <v>0</v>
      </c>
      <c r="X46" s="76">
        <v>-5250</v>
      </c>
      <c r="Y46" s="76">
        <v>-5250</v>
      </c>
      <c r="Z46" s="76">
        <v>-5250</v>
      </c>
      <c r="AA46" s="76">
        <v>-5250</v>
      </c>
      <c r="AB46" s="76">
        <v>-5250</v>
      </c>
      <c r="AC46" s="76">
        <v>-5250</v>
      </c>
      <c r="AD46" s="76">
        <v>-5250</v>
      </c>
      <c r="AE46" s="76">
        <v>-8250</v>
      </c>
      <c r="AF46" s="76">
        <v>-5250</v>
      </c>
      <c r="AG46" s="76">
        <v>-5250</v>
      </c>
      <c r="AH46" s="76">
        <v>-5250</v>
      </c>
      <c r="AI46" s="76">
        <v>-5250</v>
      </c>
      <c r="AJ46" s="76">
        <v>-5250</v>
      </c>
      <c r="AK46" s="76">
        <v>-5250</v>
      </c>
      <c r="AL46" s="76">
        <v>-5250</v>
      </c>
    </row>
    <row r="47" spans="1:38" s="76" customFormat="1" x14ac:dyDescent="0.4">
      <c r="A47" s="70" t="s">
        <v>41</v>
      </c>
      <c r="B47" s="76">
        <v>-691</v>
      </c>
      <c r="C47" s="76">
        <f>-1827.96-732</f>
        <v>-2559.96</v>
      </c>
      <c r="D47" s="76">
        <f>-1827.96-732</f>
        <v>-2559.96</v>
      </c>
      <c r="J47" s="76">
        <f>-1827.96-732</f>
        <v>-2559.96</v>
      </c>
    </row>
    <row r="48" spans="1:38" s="76" customFormat="1" x14ac:dyDescent="0.4">
      <c r="A48" s="70" t="s">
        <v>49</v>
      </c>
      <c r="C48" s="76">
        <f>-3120-3120-2469.98-4641.25-1299.45</f>
        <v>-14650.68</v>
      </c>
      <c r="D48" s="76">
        <f>-3120-590.67-360-67.02</f>
        <v>-4137.6900000000005</v>
      </c>
      <c r="E48" s="76">
        <f>-4968-3336</f>
        <v>-8304</v>
      </c>
      <c r="G48" s="76">
        <f>-3210-3030</f>
        <v>-6240</v>
      </c>
      <c r="H48" s="76">
        <f>-3120-4753.8-1373.5</f>
        <v>-9247.2999999999993</v>
      </c>
      <c r="I48" s="76">
        <f>-3120-2736-3159.23-782.4</f>
        <v>-9797.6299999999992</v>
      </c>
      <c r="J48" s="76">
        <f>-377.28-1440-1440</f>
        <v>-3257.2799999999997</v>
      </c>
      <c r="K48" s="76">
        <f>-3120-3120</f>
        <v>-6240</v>
      </c>
      <c r="L48" s="76">
        <f>-1440-1247.92</f>
        <v>-2687.92</v>
      </c>
      <c r="M48" s="76">
        <f>-3120-1440-3120</f>
        <v>-7680</v>
      </c>
      <c r="N48" s="76">
        <f>-444.88-2880</f>
        <v>-3324.88</v>
      </c>
      <c r="O48" s="76">
        <f>-3240-3120-2075.08-3120</f>
        <v>-11555.08</v>
      </c>
      <c r="P48" s="76">
        <f>-1992.6-2700</f>
        <v>-4692.6000000000004</v>
      </c>
      <c r="Q48" s="76">
        <f>-3120-3120-3000</f>
        <v>-9240</v>
      </c>
      <c r="R48" s="76">
        <f>-2880-205.3</f>
        <v>-3085.3</v>
      </c>
      <c r="S48" s="76">
        <f>-3120</f>
        <v>-3120</v>
      </c>
      <c r="T48" s="76">
        <f>-3120-1800</f>
        <v>-4920</v>
      </c>
      <c r="U48" s="76">
        <f>-3120-1260-2679</f>
        <v>-7059</v>
      </c>
      <c r="V48" s="76">
        <f>-3120-1800</f>
        <v>-4920</v>
      </c>
      <c r="W48" s="76">
        <f>-1260-3120</f>
        <v>-4380</v>
      </c>
      <c r="X48" s="76">
        <f>-3120-1440</f>
        <v>-4560</v>
      </c>
      <c r="Y48" s="76">
        <f>-3162</f>
        <v>-3162</v>
      </c>
      <c r="Z48" s="76">
        <f>-3120-840-1845.6</f>
        <v>-5805.6</v>
      </c>
      <c r="AA48" s="76">
        <f>-3120-1200</f>
        <v>-4320</v>
      </c>
      <c r="AB48" s="76">
        <f>-3120</f>
        <v>-3120</v>
      </c>
      <c r="AC48" s="76">
        <f>-1200-3120-396-1426.8-3120</f>
        <v>-9262.7999999999993</v>
      </c>
      <c r="AD48" s="76">
        <f>0</f>
        <v>0</v>
      </c>
      <c r="AE48" s="76">
        <f>-3120</f>
        <v>-3120</v>
      </c>
      <c r="AF48" s="76">
        <f>-3120-289</f>
        <v>-3409</v>
      </c>
      <c r="AG48" s="76">
        <f>-3720-2800</f>
        <v>-6520</v>
      </c>
      <c r="AH48" s="76">
        <v>-3720</v>
      </c>
      <c r="AI48" s="76">
        <v>-3720</v>
      </c>
      <c r="AJ48" s="76">
        <v>-3720</v>
      </c>
      <c r="AK48" s="76">
        <v>-3720</v>
      </c>
      <c r="AL48" s="76">
        <v>-3720</v>
      </c>
    </row>
    <row r="49" spans="1:38" s="76" customFormat="1" x14ac:dyDescent="0.4">
      <c r="A49" s="70"/>
    </row>
    <row r="50" spans="1:38" s="76" customFormat="1" x14ac:dyDescent="0.4">
      <c r="A50" s="70" t="s">
        <v>112</v>
      </c>
      <c r="AE50" s="76">
        <v>-12455</v>
      </c>
      <c r="AF50" s="76">
        <v>-13433</v>
      </c>
      <c r="AG50" s="76">
        <v>-13000</v>
      </c>
      <c r="AH50" s="76">
        <v>-25000</v>
      </c>
      <c r="AI50" s="76">
        <v>-5000</v>
      </c>
      <c r="AJ50" s="76">
        <v>-15000</v>
      </c>
      <c r="AK50" s="76">
        <v>-20000</v>
      </c>
      <c r="AL50" s="76">
        <v>-18000</v>
      </c>
    </row>
    <row r="51" spans="1:38" s="76" customFormat="1" x14ac:dyDescent="0.4">
      <c r="A51" s="70"/>
    </row>
    <row r="52" spans="1:38" s="76" customFormat="1" x14ac:dyDescent="0.4">
      <c r="A52" s="88" t="s">
        <v>122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>
        <f>SUM(AE31:AE51)</f>
        <v>-215856.49</v>
      </c>
      <c r="AF52" s="59">
        <f t="shared" ref="AF52:AL52" si="10">SUM(AF31:AF51)</f>
        <v>-115891</v>
      </c>
      <c r="AG52" s="59">
        <f t="shared" si="10"/>
        <v>-117780.76000000001</v>
      </c>
      <c r="AH52" s="59">
        <f t="shared" si="10"/>
        <v>-160130.76</v>
      </c>
      <c r="AI52" s="59">
        <f t="shared" si="10"/>
        <v>-153430.76</v>
      </c>
      <c r="AJ52" s="59">
        <f t="shared" si="10"/>
        <v>-224407.76</v>
      </c>
      <c r="AK52" s="59">
        <f t="shared" si="10"/>
        <v>-166230.76</v>
      </c>
      <c r="AL52" s="59">
        <f t="shared" si="10"/>
        <v>-171730.76</v>
      </c>
    </row>
    <row r="53" spans="1:38" s="76" customFormat="1" x14ac:dyDescent="0.4">
      <c r="A53" s="75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s="91" customFormat="1" x14ac:dyDescent="0.4">
      <c r="A54" s="90" t="s">
        <v>28</v>
      </c>
    </row>
    <row r="55" spans="1:38" s="76" customFormat="1" x14ac:dyDescent="0.4">
      <c r="A55" s="70" t="s">
        <v>29</v>
      </c>
      <c r="AB55" s="76">
        <f>-2400+2400</f>
        <v>0</v>
      </c>
      <c r="AD55" s="76">
        <v>0</v>
      </c>
      <c r="AH55" s="76">
        <v>-30000</v>
      </c>
      <c r="AJ55" s="76">
        <v>-150000</v>
      </c>
      <c r="AL55" s="76">
        <v>-25000</v>
      </c>
    </row>
    <row r="56" spans="1:38" s="76" customFormat="1" x14ac:dyDescent="0.4">
      <c r="A56" s="70" t="s">
        <v>65</v>
      </c>
      <c r="U56" s="76">
        <v>-8504.25</v>
      </c>
      <c r="AK56" s="76">
        <v>-7500</v>
      </c>
    </row>
    <row r="57" spans="1:38" s="76" customFormat="1" x14ac:dyDescent="0.4">
      <c r="A57" s="82"/>
    </row>
    <row r="58" spans="1:38" s="76" customFormat="1" x14ac:dyDescent="0.4">
      <c r="A58" s="76" t="s">
        <v>5</v>
      </c>
    </row>
    <row r="59" spans="1:38" s="76" customFormat="1" x14ac:dyDescent="0.4">
      <c r="A59" s="82" t="s">
        <v>107</v>
      </c>
      <c r="B59" s="76">
        <v>-1148</v>
      </c>
      <c r="C59" s="76">
        <v>-397.33</v>
      </c>
      <c r="D59" s="76">
        <v>-397.33</v>
      </c>
      <c r="E59" s="76">
        <v>-397.33</v>
      </c>
      <c r="F59" s="76">
        <v>-397.33</v>
      </c>
      <c r="G59" s="76">
        <v>-397.33</v>
      </c>
      <c r="H59" s="76">
        <v>-397.33</v>
      </c>
      <c r="I59" s="76">
        <v>-397.33</v>
      </c>
      <c r="J59" s="76">
        <v>-397.33</v>
      </c>
      <c r="K59" s="76">
        <v>-397.33</v>
      </c>
      <c r="L59" s="76">
        <v>-397.33</v>
      </c>
      <c r="M59" s="76">
        <v>-397.33</v>
      </c>
      <c r="N59" s="76">
        <f>-397.33</f>
        <v>-397.33</v>
      </c>
      <c r="O59" s="76">
        <v>-397.33</v>
      </c>
      <c r="P59" s="76">
        <v>-397.33</v>
      </c>
      <c r="Q59" s="76">
        <f>-397.33-370.69</f>
        <v>-768.02</v>
      </c>
      <c r="R59" s="76">
        <v>0</v>
      </c>
      <c r="S59" s="76">
        <v>-397.33</v>
      </c>
      <c r="T59" s="76">
        <v>-397.33</v>
      </c>
      <c r="U59" s="76">
        <f>-397.33-26.29</f>
        <v>-423.62</v>
      </c>
      <c r="V59" s="76">
        <v>-397.33</v>
      </c>
      <c r="W59" s="76">
        <v>-397.33</v>
      </c>
      <c r="X59" s="76">
        <v>-397.33</v>
      </c>
      <c r="Y59" s="76">
        <f t="shared" ref="Y59:AL59" si="11">-397.33</f>
        <v>-397.33</v>
      </c>
      <c r="Z59" s="76">
        <f t="shared" si="11"/>
        <v>-397.33</v>
      </c>
      <c r="AA59" s="76">
        <f t="shared" si="11"/>
        <v>-397.33</v>
      </c>
      <c r="AB59" s="76">
        <f t="shared" si="11"/>
        <v>-397.33</v>
      </c>
      <c r="AC59" s="76">
        <f t="shared" si="11"/>
        <v>-397.33</v>
      </c>
      <c r="AD59" s="76">
        <f t="shared" si="11"/>
        <v>-397.33</v>
      </c>
      <c r="AE59" s="76">
        <f t="shared" si="11"/>
        <v>-397.33</v>
      </c>
      <c r="AF59" s="76">
        <f t="shared" si="11"/>
        <v>-397.33</v>
      </c>
      <c r="AG59" s="76">
        <f t="shared" si="11"/>
        <v>-397.33</v>
      </c>
      <c r="AH59" s="76">
        <f t="shared" si="11"/>
        <v>-397.33</v>
      </c>
      <c r="AI59" s="76">
        <f t="shared" si="11"/>
        <v>-397.33</v>
      </c>
      <c r="AJ59" s="76">
        <f t="shared" si="11"/>
        <v>-397.33</v>
      </c>
      <c r="AK59" s="76">
        <f t="shared" si="11"/>
        <v>-397.33</v>
      </c>
      <c r="AL59" s="76">
        <f t="shared" si="11"/>
        <v>-397.33</v>
      </c>
    </row>
    <row r="60" spans="1:38" s="76" customFormat="1" x14ac:dyDescent="0.4">
      <c r="A60" s="82" t="s">
        <v>108</v>
      </c>
      <c r="J60" s="76">
        <v>-3106.47</v>
      </c>
      <c r="N60" s="76">
        <v>-421.09</v>
      </c>
      <c r="U60" s="76">
        <f>-382.69-2915.05</f>
        <v>-3297.7400000000002</v>
      </c>
      <c r="V60" s="76">
        <v>-2915.05</v>
      </c>
      <c r="W60" s="76">
        <v>-2915.05</v>
      </c>
      <c r="X60" s="76">
        <v>-2915.05</v>
      </c>
      <c r="Y60" s="76">
        <v>-2915.05</v>
      </c>
      <c r="Z60" s="76">
        <v>-2915.05</v>
      </c>
      <c r="AA60" s="76">
        <v>-2915.05</v>
      </c>
      <c r="AB60" s="76">
        <v>-2915.05</v>
      </c>
      <c r="AC60" s="76">
        <v>-2915.05</v>
      </c>
      <c r="AD60" s="76">
        <v>-2915.05</v>
      </c>
      <c r="AE60" s="76">
        <v>-2915.05</v>
      </c>
      <c r="AF60" s="76">
        <v>-2915.05</v>
      </c>
      <c r="AG60" s="76">
        <v>-2915.05</v>
      </c>
      <c r="AH60" s="76">
        <v>-2915.05</v>
      </c>
      <c r="AI60" s="76">
        <v>-2915.05</v>
      </c>
      <c r="AJ60" s="76">
        <v>-2914.05</v>
      </c>
      <c r="AK60" s="76">
        <v>-2913.05</v>
      </c>
      <c r="AL60" s="76">
        <v>-2912.05</v>
      </c>
    </row>
    <row r="61" spans="1:38" s="76" customFormat="1" x14ac:dyDescent="0.4">
      <c r="A61" s="82" t="s">
        <v>109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Y61" s="76">
        <v>-2328.6799999999998</v>
      </c>
      <c r="Z61" s="76">
        <v>-609.65</v>
      </c>
      <c r="AA61" s="76">
        <v>-609.65</v>
      </c>
      <c r="AB61" s="76">
        <v>-609.65</v>
      </c>
      <c r="AC61" s="76">
        <v>-609.65</v>
      </c>
      <c r="AD61" s="76">
        <v>-609.65</v>
      </c>
      <c r="AE61" s="76">
        <v>-609.65</v>
      </c>
      <c r="AF61" s="76">
        <v>-609.65</v>
      </c>
      <c r="AG61" s="76">
        <v>-609.65</v>
      </c>
      <c r="AH61" s="76">
        <v>-609.65</v>
      </c>
      <c r="AI61" s="76">
        <v>-609.65</v>
      </c>
      <c r="AJ61" s="76">
        <v>-608.65</v>
      </c>
      <c r="AK61" s="76">
        <v>-607.65</v>
      </c>
      <c r="AL61" s="76">
        <v>-606.65</v>
      </c>
    </row>
    <row r="62" spans="1:38" s="76" customFormat="1" x14ac:dyDescent="0.4">
      <c r="A62" s="82" t="s">
        <v>110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Z62" s="76">
        <v>-762.2</v>
      </c>
      <c r="AA62" s="76">
        <v>-572.86</v>
      </c>
      <c r="AB62" s="76">
        <v>-572.86</v>
      </c>
      <c r="AC62" s="76">
        <v>-572.86</v>
      </c>
      <c r="AD62" s="76">
        <f>-572.86</f>
        <v>-572.86</v>
      </c>
      <c r="AE62" s="76">
        <f>-572.86-1142.5-840</f>
        <v>-2555.36</v>
      </c>
      <c r="AF62" s="76">
        <f>-572.86-901.8-901.8</f>
        <v>-2376.46</v>
      </c>
      <c r="AG62" s="76">
        <f>-572.86-901.8</f>
        <v>-1474.6599999999999</v>
      </c>
      <c r="AH62" s="76">
        <f>-572.86-901.8</f>
        <v>-1474.6599999999999</v>
      </c>
      <c r="AI62" s="76">
        <f>-572.86-901.8</f>
        <v>-1474.6599999999999</v>
      </c>
      <c r="AJ62" s="76">
        <f t="shared" ref="AJ62:AL62" si="12">-572.86-901.8</f>
        <v>-1474.6599999999999</v>
      </c>
      <c r="AK62" s="76">
        <f t="shared" si="12"/>
        <v>-1474.6599999999999</v>
      </c>
      <c r="AL62" s="76">
        <f t="shared" si="12"/>
        <v>-1474.6599999999999</v>
      </c>
    </row>
    <row r="63" spans="1:38" s="76" customFormat="1" ht="12.6" x14ac:dyDescent="0.45">
      <c r="A63" s="82" t="s">
        <v>34</v>
      </c>
      <c r="B63" s="78">
        <f>0-(+(360+640+3750)*1.2*3)</f>
        <v>-17100</v>
      </c>
      <c r="C63" s="76">
        <f>0-(+(360+640+3750)*1.2)</f>
        <v>-5700</v>
      </c>
      <c r="D63" s="76">
        <f>0-(+(360+640+3750)*1.2)</f>
        <v>-5700</v>
      </c>
      <c r="E63" s="76">
        <f>0-(+(360+640+3750)*1.2)</f>
        <v>-5700</v>
      </c>
      <c r="F63" s="76">
        <f>0-(+(360+640+3750)*1.2)</f>
        <v>-5700</v>
      </c>
      <c r="G63" s="76">
        <f>0-(+(360+640+3750)*1.2)</f>
        <v>-5700</v>
      </c>
      <c r="H63" s="76">
        <f>0-(+(640+3750)*1.2)</f>
        <v>-5268</v>
      </c>
      <c r="I63" s="76">
        <f>(0-(+(640+3750)*1.2))+-5268</f>
        <v>-10536</v>
      </c>
      <c r="K63" s="76">
        <f>0-(+(640+3750)*1.2)</f>
        <v>-5268</v>
      </c>
      <c r="L63" s="76">
        <f>0-(+(640+3750)*1.2)</f>
        <v>-5268</v>
      </c>
      <c r="M63" s="76">
        <v>-4500</v>
      </c>
      <c r="N63" s="76">
        <v>-4500</v>
      </c>
      <c r="O63" s="76">
        <v>-4500</v>
      </c>
      <c r="P63" s="76">
        <v>-4500</v>
      </c>
      <c r="Q63" s="76">
        <f>-4080.71-8661.89-4500</f>
        <v>-17242.599999999999</v>
      </c>
      <c r="R63" s="76">
        <v>-4500</v>
      </c>
      <c r="S63" s="76">
        <f>-4500</f>
        <v>-4500</v>
      </c>
      <c r="T63" s="76">
        <v>0</v>
      </c>
      <c r="U63" s="76">
        <f>-4500-6745.67-4500-2389.12</f>
        <v>-18134.79</v>
      </c>
      <c r="V63" s="76">
        <v>0</v>
      </c>
      <c r="W63" s="76">
        <v>0</v>
      </c>
      <c r="X63" s="76">
        <v>0</v>
      </c>
      <c r="Y63" s="76">
        <v>0</v>
      </c>
      <c r="Z63" s="76">
        <f>-7408.9</f>
        <v>-7408.9</v>
      </c>
      <c r="AA63" s="76">
        <v>-11534.44</v>
      </c>
      <c r="AB63" s="76">
        <v>0</v>
      </c>
      <c r="AC63" s="76">
        <v>0</v>
      </c>
      <c r="AD63" s="76">
        <v>-6363.34</v>
      </c>
      <c r="AE63" s="76">
        <v>-6245.49</v>
      </c>
      <c r="AF63" s="76">
        <f>-2485.31-3760.18</f>
        <v>-6245.49</v>
      </c>
      <c r="AG63" s="76">
        <v>-6500</v>
      </c>
      <c r="AH63" s="76">
        <v>-6500</v>
      </c>
      <c r="AI63" s="76">
        <v>-6300</v>
      </c>
      <c r="AJ63" s="76">
        <v>-6300</v>
      </c>
      <c r="AK63" s="76">
        <v>-6300</v>
      </c>
      <c r="AL63" s="76">
        <v>-6300</v>
      </c>
    </row>
    <row r="64" spans="1:38" s="76" customFormat="1" ht="12.6" x14ac:dyDescent="0.45">
      <c r="A64" s="82"/>
      <c r="B64" s="78"/>
    </row>
    <row r="65" spans="1:38" s="76" customFormat="1" ht="12.6" x14ac:dyDescent="0.45">
      <c r="A65" s="88" t="s">
        <v>123</v>
      </c>
      <c r="B65" s="78"/>
      <c r="AE65" s="59">
        <f>SUM(AE55:AE64)</f>
        <v>-12722.880000000001</v>
      </c>
      <c r="AF65" s="59">
        <f t="shared" ref="AF65:AL65" si="13">SUM(AF55:AF64)</f>
        <v>-12543.98</v>
      </c>
      <c r="AG65" s="59">
        <f t="shared" si="13"/>
        <v>-11896.69</v>
      </c>
      <c r="AH65" s="59">
        <f t="shared" si="13"/>
        <v>-41896.69</v>
      </c>
      <c r="AI65" s="59">
        <f t="shared" si="13"/>
        <v>-11696.69</v>
      </c>
      <c r="AJ65" s="59">
        <f t="shared" si="13"/>
        <v>-161694.68999999997</v>
      </c>
      <c r="AK65" s="59">
        <f t="shared" si="13"/>
        <v>-19192.690000000002</v>
      </c>
      <c r="AL65" s="59">
        <f t="shared" si="13"/>
        <v>-36690.69</v>
      </c>
    </row>
    <row r="66" spans="1:38" s="59" customFormat="1" x14ac:dyDescent="0.4">
      <c r="A66" s="75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38" s="91" customFormat="1" x14ac:dyDescent="0.4">
      <c r="A67" s="92" t="s">
        <v>124</v>
      </c>
    </row>
    <row r="68" spans="1:38" s="76" customFormat="1" x14ac:dyDescent="0.4">
      <c r="A68" s="76" t="s">
        <v>44</v>
      </c>
      <c r="V68" s="76">
        <v>-4625.82</v>
      </c>
      <c r="W68" s="76">
        <v>-4628.5</v>
      </c>
      <c r="X68" s="76">
        <v>-4627.3999999999996</v>
      </c>
      <c r="Y68" s="76">
        <v>-4626.1899999999996</v>
      </c>
      <c r="Z68" s="76">
        <v>-4625.01</v>
      </c>
      <c r="AA68" s="76">
        <v>-4637.18</v>
      </c>
      <c r="AB68" s="76">
        <v>-4624.3900000000003</v>
      </c>
      <c r="AC68" s="76">
        <v>0</v>
      </c>
      <c r="AD68" s="76">
        <f>-4644.19-4619.02</f>
        <v>-9263.2099999999991</v>
      </c>
      <c r="AE68" s="76">
        <v>-4619.47</v>
      </c>
      <c r="AF68" s="76">
        <v>-4622.1899999999996</v>
      </c>
      <c r="AG68" s="76">
        <v>-4628.5</v>
      </c>
      <c r="AH68" s="76">
        <v>-4628.5</v>
      </c>
      <c r="AI68" s="76">
        <v>-4628.5</v>
      </c>
      <c r="AJ68" s="76">
        <v>-4627.5</v>
      </c>
      <c r="AK68" s="76">
        <f>-4626.5-5000</f>
        <v>-9626.5</v>
      </c>
      <c r="AL68" s="76">
        <f>-4625.5-5000</f>
        <v>-9625.5</v>
      </c>
    </row>
    <row r="69" spans="1:38" s="76" customFormat="1" x14ac:dyDescent="0.4">
      <c r="A69" s="74" t="s">
        <v>6</v>
      </c>
      <c r="C69" s="76">
        <f>-3-3-3-2.5-2.5-3-4.65-1.29-3-4.65-3.57-4.65-1.29</f>
        <v>-40.099999999999994</v>
      </c>
      <c r="D69" s="76">
        <f>-936.54-3-2.5-4.65-3-3-3-3-7.24-2.55-9.3-1.29-55.1-0.08+0.31-0.01-90.13</f>
        <v>-1124.08</v>
      </c>
      <c r="E69" s="76">
        <f>-2.5-3-2.5-2.5-3-3-26.9</f>
        <v>-43.4</v>
      </c>
      <c r="F69" s="76">
        <f>-4.65-1.29-2.5-14.58</f>
        <v>-23.020000000000003</v>
      </c>
      <c r="G69" s="76">
        <f>-4.65-1.29-1541.51-1.29-4.65-3-3-2.5-2.5-3-9.3-1.02-2.5-38.76-10.6+20.7</f>
        <v>-1608.87</v>
      </c>
      <c r="H69" s="76">
        <f>-3-3-3-3-4.65-1.29</f>
        <v>-17.939999999999998</v>
      </c>
      <c r="I69" s="76">
        <f>-3-3-3-3-1.23-9.3-32.92-3.57-4.65</f>
        <v>-63.67</v>
      </c>
      <c r="J69" s="76">
        <f>-1.29-3-3-3-3+1.29-154.94-1157.86-717.35-75.34-0.24+0.88-30.4-597.44-42.59-2.05-9.3-2.55-17.88-7.75-7.75-7.75-13.66-7.75</f>
        <v>-2863.7200000000007</v>
      </c>
      <c r="K69" s="76">
        <f>-3-3-3-12.1-4.65</f>
        <v>-25.75</v>
      </c>
      <c r="L69" s="76">
        <f>-1.53-18.8-4.65-3-3-3-1.29</f>
        <v>-35.270000000000003</v>
      </c>
      <c r="M69" s="76">
        <f>-6-2277.02-4.65-3-3.1-3-3-1.29-9.3-2.25</f>
        <v>-2312.61</v>
      </c>
      <c r="N69" s="76">
        <f>-2-2-2-4.65-3-939.33-386.6-40.72-848.32-2.31</f>
        <v>-2230.9299999999998</v>
      </c>
      <c r="O69" s="76">
        <f>-1.29-2-2-2-1-3.5-1-2-2-4.65-1-1-1-2-2-2-1.29-2.5-2.7-9.3-29.74-2.55</f>
        <v>-78.52</v>
      </c>
      <c r="P69" s="76">
        <f>-2-2-3.5-1-1-1-1-6-4.65-1.29-2-2-1-1-1-2104.91</f>
        <v>-2135.35</v>
      </c>
      <c r="Q69" s="76">
        <f>-3.5-1-1-2-2-3.1-1.29-4.65-153.54-34.46-706.03-47.26-1.8-9.3-15.58-4.08</f>
        <v>-990.58999999999992</v>
      </c>
      <c r="R69" s="76">
        <f>-25.02-2-2-3.5-1-1-1-2.04-9.3-2.7-2-1.29-4.65-50</f>
        <v>-107.5</v>
      </c>
      <c r="S69" s="76">
        <f>-1947.52-1.29-4.65-6-2-1-1-2-2-2-2-3.5-3.5-3.5-6-113.29-28.41-2.04-2.7-9.3-0.18-2.5-8.78-15.58-0.18-2.5-1.02</f>
        <v>-2174.4399999999996</v>
      </c>
      <c r="T69" s="76">
        <f>-2-2-3.5-1-2-2-65.32-28.41-45.74-1392.87</f>
        <v>-1544.84</v>
      </c>
      <c r="U69" s="76">
        <f>-4.65-1.29-3-12-75-6250-9-28.41-0.54-15.58-3.15-9.3-1.02-1.69</f>
        <v>-6414.6299999999992</v>
      </c>
      <c r="V69" s="76">
        <f>-1374.75-6-3.5-154.94-2-2-2-3.5-1.29-2-4.65-2-2-28.41-1053.74</f>
        <v>-2642.78</v>
      </c>
      <c r="W69" s="76">
        <f>-28.41-94.09-43.99-1345.86-2.5-0.18-2.7-9.39-10.86-0.51-2-3.5-2-2-1-3.1</f>
        <v>-1552.09</v>
      </c>
      <c r="X69" s="76">
        <f>-4.06-3.5-1.29-2-2-2-6.15-75-28.41-0.51-0.18-2.5-3.57-39.18</f>
        <v>-170.35000000000002</v>
      </c>
      <c r="Y69" s="76">
        <f>-2.68-47.27-12.3-3.6-5.32-28.41-28.41-3.5-895.86-1.29-2-3.5-19.44-2-2-2-3.1-6.15-2-1.29-1721.59</f>
        <v>-2793.71</v>
      </c>
      <c r="Z69" s="76">
        <f>-23.5+3.5-104.4-38.87-1243.74-100-1.04-3.68-2.57-11.23-0.18-2.5-1.52-1-2-1-4-2-2-2-2-1.29</f>
        <v>-1547.02</v>
      </c>
      <c r="AA69" s="76">
        <f>-7.73-0.18-2.5-21.73-18.23-4-3.88-12.3-2.7-7.6-2.5-0.18-28.41-28.41-8-10.11</f>
        <v>-158.46000000000004</v>
      </c>
      <c r="AB69" s="76">
        <f>-206-2-2-2-45.82-6.75-32-1611.46-0.18-2.5-2.5-0.18-11.21-7.73-2.28</f>
        <v>-1934.6100000000001</v>
      </c>
      <c r="AC69" s="76">
        <f>-2.35-1058.54-18.45-2-2-13.35-2-2-2-2-2-2-2-259.72-42.5-1705.22-130-8.78-21.73-2-4-12.3-1.8-3.8-32-16.5</f>
        <v>-3351.0400000000009</v>
      </c>
      <c r="AD69" s="76">
        <f>-0.18-2.5-32.23-26.34-6.08-4-4.23-10-10-32-52-10.12-2-2-2-23.68</f>
        <v>-219.36</v>
      </c>
      <c r="AE69" s="76">
        <v>-451</v>
      </c>
      <c r="AF69" s="76">
        <v>-311</v>
      </c>
      <c r="AG69" s="76">
        <v>-300</v>
      </c>
      <c r="AH69" s="76">
        <v>-200</v>
      </c>
      <c r="AI69" s="76">
        <v>-200</v>
      </c>
      <c r="AJ69" s="76">
        <v>-8751</v>
      </c>
      <c r="AK69" s="76">
        <v>-300</v>
      </c>
      <c r="AL69" s="76">
        <v>-300</v>
      </c>
    </row>
    <row r="70" spans="1:38" s="76" customFormat="1" x14ac:dyDescent="0.4">
      <c r="A70" s="74"/>
    </row>
    <row r="71" spans="1:38" s="76" customFormat="1" x14ac:dyDescent="0.4">
      <c r="A71" s="121" t="s">
        <v>125</v>
      </c>
      <c r="AE71" s="59">
        <f>SUM(AE68:AE70)</f>
        <v>-5070.47</v>
      </c>
      <c r="AF71" s="59">
        <f t="shared" ref="AF71:AL71" si="14">SUM(AF68:AF70)</f>
        <v>-4933.1899999999996</v>
      </c>
      <c r="AG71" s="59">
        <f t="shared" si="14"/>
        <v>-4928.5</v>
      </c>
      <c r="AH71" s="59">
        <f t="shared" si="14"/>
        <v>-4828.5</v>
      </c>
      <c r="AI71" s="59">
        <f t="shared" si="14"/>
        <v>-4828.5</v>
      </c>
      <c r="AJ71" s="59">
        <f t="shared" si="14"/>
        <v>-13378.5</v>
      </c>
      <c r="AK71" s="59">
        <f t="shared" si="14"/>
        <v>-9926.5</v>
      </c>
      <c r="AL71" s="59">
        <f t="shared" si="14"/>
        <v>-9925.5</v>
      </c>
    </row>
    <row r="72" spans="1:38" s="59" customFormat="1" x14ac:dyDescent="0.4">
      <c r="A72" s="75"/>
    </row>
    <row r="73" spans="1:38" s="91" customFormat="1" x14ac:dyDescent="0.4">
      <c r="A73" s="92" t="s">
        <v>32</v>
      </c>
    </row>
    <row r="74" spans="1:38" s="76" customFormat="1" x14ac:dyDescent="0.4">
      <c r="A74" s="76" t="s">
        <v>111</v>
      </c>
      <c r="AH74" s="76">
        <v>-8995</v>
      </c>
    </row>
    <row r="75" spans="1:38" s="76" customFormat="1" x14ac:dyDescent="0.4">
      <c r="A75" s="76" t="s">
        <v>24</v>
      </c>
      <c r="D75" s="76">
        <f>-373-906.49</f>
        <v>-1279.49</v>
      </c>
      <c r="G75" s="76">
        <v>-5.59</v>
      </c>
      <c r="K75" s="76">
        <v>-478.31</v>
      </c>
      <c r="M75" s="76">
        <v>-478.29</v>
      </c>
      <c r="O75" s="76">
        <v>-478.29</v>
      </c>
      <c r="Q75" s="76">
        <v>-478.29</v>
      </c>
      <c r="U75" s="76">
        <f>-26476.03-600+7556.03</f>
        <v>-19520</v>
      </c>
      <c r="W75" s="76">
        <f>-612-476.16</f>
        <v>-1088.1600000000001</v>
      </c>
      <c r="Y75" s="76">
        <v>-476.16</v>
      </c>
      <c r="AC75" s="76">
        <v>0</v>
      </c>
      <c r="AD75" s="76">
        <v>0</v>
      </c>
      <c r="AE75" s="76">
        <f>-4340.26-482.7</f>
        <v>-4822.96</v>
      </c>
      <c r="AG75" s="76">
        <f>-50900-500+6400-1000</f>
        <v>-46000</v>
      </c>
    </row>
    <row r="76" spans="1:38" s="76" customFormat="1" x14ac:dyDescent="0.4"/>
    <row r="77" spans="1:38" s="59" customFormat="1" x14ac:dyDescent="0.4">
      <c r="A77" s="88" t="s">
        <v>126</v>
      </c>
      <c r="AE77" s="59">
        <f>SUM(AE74:AE76)</f>
        <v>-4822.96</v>
      </c>
      <c r="AF77" s="59">
        <f t="shared" ref="AF77:AL77" si="15">SUM(AF74:AF76)</f>
        <v>0</v>
      </c>
      <c r="AG77" s="59">
        <f t="shared" si="15"/>
        <v>-46000</v>
      </c>
      <c r="AH77" s="59">
        <f t="shared" si="15"/>
        <v>-8995</v>
      </c>
      <c r="AI77" s="59">
        <f t="shared" si="15"/>
        <v>0</v>
      </c>
      <c r="AJ77" s="59">
        <f t="shared" si="15"/>
        <v>0</v>
      </c>
      <c r="AK77" s="59">
        <f t="shared" si="15"/>
        <v>0</v>
      </c>
      <c r="AL77" s="59">
        <f t="shared" si="15"/>
        <v>0</v>
      </c>
    </row>
    <row r="78" spans="1:38" s="59" customFormat="1" x14ac:dyDescent="0.4">
      <c r="A78" s="75"/>
    </row>
    <row r="79" spans="1:38" s="91" customFormat="1" x14ac:dyDescent="0.4">
      <c r="A79" s="92" t="s">
        <v>128</v>
      </c>
      <c r="AE79" s="91" t="s">
        <v>66</v>
      </c>
    </row>
    <row r="80" spans="1:38" s="76" customFormat="1" x14ac:dyDescent="0.4"/>
    <row r="81" spans="1:41" s="76" customFormat="1" x14ac:dyDescent="0.4">
      <c r="A81" s="76" t="s">
        <v>35</v>
      </c>
      <c r="B81" s="76">
        <v>-5400</v>
      </c>
      <c r="C81" s="76">
        <v>-5400</v>
      </c>
      <c r="D81" s="76">
        <v>-5400</v>
      </c>
      <c r="E81" s="76">
        <v>-5400</v>
      </c>
      <c r="F81" s="76">
        <v>-5400</v>
      </c>
      <c r="G81" s="76">
        <v>-5400</v>
      </c>
      <c r="H81" s="76">
        <v>-5400</v>
      </c>
      <c r="I81" s="76">
        <v>-10800</v>
      </c>
      <c r="K81" s="76">
        <v>-5400</v>
      </c>
      <c r="L81" s="76">
        <f>-5400</f>
        <v>-5400</v>
      </c>
      <c r="M81" s="76">
        <v>-5400</v>
      </c>
      <c r="N81" s="76">
        <v>-5400</v>
      </c>
      <c r="O81" s="76">
        <v>-5400</v>
      </c>
      <c r="P81" s="76">
        <v>-5400</v>
      </c>
      <c r="Q81" s="76">
        <v>-5400</v>
      </c>
      <c r="R81" s="76">
        <v>-5400</v>
      </c>
      <c r="T81" s="76">
        <f>-5400</f>
        <v>-5400</v>
      </c>
      <c r="U81" s="76">
        <f>-5400-5400</f>
        <v>-10800</v>
      </c>
      <c r="V81" s="76">
        <v>-5400</v>
      </c>
      <c r="W81" s="76">
        <v>0</v>
      </c>
      <c r="X81" s="76">
        <v>0</v>
      </c>
      <c r="Y81" s="76">
        <v>0</v>
      </c>
      <c r="Z81" s="76">
        <f>-5400*3</f>
        <v>-16200</v>
      </c>
      <c r="AA81" s="76">
        <f>-5400</f>
        <v>-5400</v>
      </c>
      <c r="AB81" s="76">
        <v>0</v>
      </c>
      <c r="AC81" s="76">
        <v>0</v>
      </c>
      <c r="AD81" s="76">
        <v>0</v>
      </c>
      <c r="AE81" s="76">
        <f>-5400*5</f>
        <v>-27000</v>
      </c>
      <c r="AF81" s="76">
        <f>-5400</f>
        <v>-5400</v>
      </c>
      <c r="AG81" s="76">
        <f>-5400</f>
        <v>-5400</v>
      </c>
      <c r="AH81" s="76">
        <f>-5400</f>
        <v>-5400</v>
      </c>
      <c r="AI81" s="76">
        <f>-5400</f>
        <v>-5400</v>
      </c>
      <c r="AJ81" s="76">
        <f t="shared" ref="AJ81:AL81" si="16">-5400</f>
        <v>-5400</v>
      </c>
      <c r="AK81" s="76">
        <f t="shared" si="16"/>
        <v>-5400</v>
      </c>
      <c r="AL81" s="76">
        <f t="shared" si="16"/>
        <v>-5400</v>
      </c>
    </row>
    <row r="82" spans="1:41" s="76" customFormat="1" x14ac:dyDescent="0.4">
      <c r="A82" s="70" t="s">
        <v>36</v>
      </c>
      <c r="C82" s="76">
        <v>-21000</v>
      </c>
      <c r="F82" s="76">
        <v>-21000</v>
      </c>
      <c r="H82" s="76">
        <v>-21000</v>
      </c>
      <c r="K82" s="76">
        <v>-21000</v>
      </c>
      <c r="M82" s="76">
        <v>-21000</v>
      </c>
      <c r="P82" s="76">
        <v>-21000</v>
      </c>
      <c r="T82" s="76">
        <v>0</v>
      </c>
      <c r="U82" s="76">
        <f>-21000</f>
        <v>-21000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-21000</v>
      </c>
      <c r="AB82" s="76">
        <v>0</v>
      </c>
      <c r="AC82" s="76">
        <v>0</v>
      </c>
      <c r="AD82" s="76">
        <v>-21000</v>
      </c>
      <c r="AE82" s="76">
        <v>-21000</v>
      </c>
      <c r="AH82" s="76">
        <v>-21000</v>
      </c>
      <c r="AK82" s="76">
        <v>-21000</v>
      </c>
    </row>
    <row r="83" spans="1:41" s="76" customFormat="1" x14ac:dyDescent="0.4">
      <c r="A83" s="76" t="s">
        <v>22</v>
      </c>
      <c r="J83" s="76">
        <f>-120367.49-40261.95-50087.91+717.35</f>
        <v>-210000</v>
      </c>
      <c r="P83" s="76">
        <f>-120200</f>
        <v>-120200</v>
      </c>
      <c r="R83" s="76">
        <f>-20000</f>
        <v>-20000</v>
      </c>
      <c r="T83" s="76">
        <f>-20000+20000</f>
        <v>0</v>
      </c>
      <c r="Z83" s="76">
        <v>0</v>
      </c>
      <c r="AA83" s="76">
        <v>0</v>
      </c>
      <c r="AC83" s="76">
        <v>0</v>
      </c>
      <c r="AD83" s="76">
        <v>-35000</v>
      </c>
      <c r="AG83" s="76">
        <v>-70000</v>
      </c>
    </row>
    <row r="84" spans="1:41" s="76" customFormat="1" ht="12.75" customHeight="1" x14ac:dyDescent="0.5">
      <c r="A84" s="76" t="s">
        <v>27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T84" s="76">
        <f>-50000*1.2+60000</f>
        <v>0</v>
      </c>
      <c r="U84" s="76">
        <f>-50000*1.2+60000</f>
        <v>0</v>
      </c>
      <c r="V84" s="76">
        <f>-50000*1.2-60000-200</f>
        <v>-120200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-120000</v>
      </c>
      <c r="AC84" s="76">
        <v>0</v>
      </c>
      <c r="AD84" s="76">
        <v>0</v>
      </c>
      <c r="AH84" s="76">
        <v>-120000</v>
      </c>
      <c r="AI84" s="89"/>
      <c r="AJ84" s="89"/>
      <c r="AK84" s="89"/>
      <c r="AL84" s="89"/>
      <c r="AM84" s="89"/>
      <c r="AN84" s="89"/>
      <c r="AO84" s="89"/>
    </row>
    <row r="85" spans="1:41" s="76" customFormat="1" ht="12.75" customHeight="1" x14ac:dyDescent="0.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AI85" s="89"/>
      <c r="AJ85" s="89"/>
      <c r="AK85" s="89"/>
      <c r="AL85" s="89"/>
      <c r="AM85" s="89"/>
      <c r="AN85" s="89"/>
      <c r="AO85" s="89"/>
    </row>
    <row r="86" spans="1:41" s="76" customFormat="1" ht="12.75" customHeight="1" x14ac:dyDescent="0.5">
      <c r="A86" s="88" t="s">
        <v>127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AE86" s="59">
        <f>SUM(AE80:AE85)</f>
        <v>-48000</v>
      </c>
      <c r="AF86" s="59">
        <f t="shared" ref="AF86:AL86" si="17">SUM(AF80:AF85)</f>
        <v>-5400</v>
      </c>
      <c r="AG86" s="59">
        <f t="shared" si="17"/>
        <v>-75400</v>
      </c>
      <c r="AH86" s="59">
        <f t="shared" si="17"/>
        <v>-146400</v>
      </c>
      <c r="AI86" s="59">
        <f t="shared" si="17"/>
        <v>-5400</v>
      </c>
      <c r="AJ86" s="59">
        <f t="shared" si="17"/>
        <v>-5400</v>
      </c>
      <c r="AK86" s="59">
        <f t="shared" si="17"/>
        <v>-26400</v>
      </c>
      <c r="AL86" s="59">
        <f t="shared" si="17"/>
        <v>-5400</v>
      </c>
      <c r="AM86" s="89"/>
      <c r="AN86" s="89"/>
      <c r="AO86" s="89"/>
    </row>
    <row r="87" spans="1:41" s="59" customFormat="1" ht="12.75" customHeight="1" x14ac:dyDescent="0.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AM87" s="89"/>
      <c r="AN87" s="89"/>
      <c r="AO87" s="89"/>
    </row>
    <row r="88" spans="1:41" s="95" customFormat="1" x14ac:dyDescent="0.4">
      <c r="A88" s="93" t="s">
        <v>7</v>
      </c>
      <c r="B88" s="94">
        <f t="shared" ref="B88:AD88" si="18">SUM(B30:B84)</f>
        <v>-79789</v>
      </c>
      <c r="C88" s="94">
        <f t="shared" si="18"/>
        <v>-175282.55</v>
      </c>
      <c r="D88" s="94">
        <f t="shared" si="18"/>
        <v>-88165.220000000016</v>
      </c>
      <c r="E88" s="94">
        <f t="shared" si="18"/>
        <v>-50738.840000000004</v>
      </c>
      <c r="F88" s="94">
        <f t="shared" si="18"/>
        <v>-112327.55</v>
      </c>
      <c r="G88" s="94">
        <f t="shared" si="18"/>
        <v>-96941.299999999988</v>
      </c>
      <c r="H88" s="94">
        <f t="shared" si="18"/>
        <v>-127513.43000000001</v>
      </c>
      <c r="I88" s="94">
        <f t="shared" si="18"/>
        <v>-100286.75</v>
      </c>
      <c r="J88" s="94">
        <f t="shared" si="18"/>
        <v>-308656.59000000003</v>
      </c>
      <c r="K88" s="94">
        <f t="shared" si="18"/>
        <v>-119399.3</v>
      </c>
      <c r="L88" s="94">
        <f t="shared" si="18"/>
        <v>-123059.51000000002</v>
      </c>
      <c r="M88" s="94">
        <f t="shared" si="18"/>
        <v>-117724.11</v>
      </c>
      <c r="N88" s="94">
        <f t="shared" si="18"/>
        <v>-48487.74</v>
      </c>
      <c r="O88" s="94">
        <f t="shared" si="18"/>
        <v>-132723.43</v>
      </c>
      <c r="P88" s="94">
        <f t="shared" si="18"/>
        <v>-224378.08000000002</v>
      </c>
      <c r="Q88" s="94">
        <f t="shared" si="18"/>
        <v>-104617.74999999996</v>
      </c>
      <c r="R88" s="94">
        <f t="shared" si="18"/>
        <v>-85991.59</v>
      </c>
      <c r="S88" s="94">
        <f t="shared" si="18"/>
        <v>-124563.47</v>
      </c>
      <c r="T88" s="94">
        <f t="shared" si="18"/>
        <v>-31416.13</v>
      </c>
      <c r="U88" s="94">
        <f t="shared" si="18"/>
        <v>-163312.71000000002</v>
      </c>
      <c r="V88" s="94">
        <f t="shared" si="18"/>
        <v>-185316.74</v>
      </c>
      <c r="W88" s="94">
        <f t="shared" si="18"/>
        <v>-78990.48000000001</v>
      </c>
      <c r="X88" s="94">
        <f t="shared" si="18"/>
        <v>-57712.58</v>
      </c>
      <c r="Y88" s="94">
        <f t="shared" si="18"/>
        <v>-84518.810000000012</v>
      </c>
      <c r="Z88" s="94">
        <f t="shared" si="18"/>
        <v>-151272.93999999997</v>
      </c>
      <c r="AA88" s="94">
        <f t="shared" si="18"/>
        <v>-84946.19</v>
      </c>
      <c r="AB88" s="94">
        <f t="shared" si="18"/>
        <v>-258702.97</v>
      </c>
      <c r="AC88" s="94">
        <f t="shared" si="18"/>
        <v>-71944.200000000012</v>
      </c>
      <c r="AD88" s="94">
        <f t="shared" si="18"/>
        <v>-164449.46000000002</v>
      </c>
      <c r="AE88" s="94">
        <f>+AE86+AE77+AE71+AE65+AE52</f>
        <v>-286472.8</v>
      </c>
      <c r="AF88" s="94">
        <f t="shared" ref="AF88:AL88" si="19">+AF86+AF77+AF71+AF65+AF52</f>
        <v>-138768.16999999998</v>
      </c>
      <c r="AG88" s="94">
        <f t="shared" si="19"/>
        <v>-256005.95</v>
      </c>
      <c r="AH88" s="94">
        <f t="shared" si="19"/>
        <v>-362250.95</v>
      </c>
      <c r="AI88" s="94">
        <f t="shared" si="19"/>
        <v>-175355.95</v>
      </c>
      <c r="AJ88" s="94">
        <f t="shared" si="19"/>
        <v>-404880.94999999995</v>
      </c>
      <c r="AK88" s="94">
        <f t="shared" si="19"/>
        <v>-221749.95</v>
      </c>
      <c r="AL88" s="94">
        <f t="shared" si="19"/>
        <v>-223746.95</v>
      </c>
      <c r="AM88" s="93"/>
      <c r="AN88" s="93"/>
      <c r="AO88" s="93"/>
    </row>
    <row r="89" spans="1:41" s="100" customFormat="1" x14ac:dyDescent="0.4">
      <c r="A89" s="98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8"/>
      <c r="AN89" s="98"/>
      <c r="AO89" s="98"/>
    </row>
    <row r="90" spans="1:41" s="54" customFormat="1" x14ac:dyDescent="0.4">
      <c r="A90" s="52" t="s">
        <v>115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>
        <f t="shared" ref="AE90:AL90" si="20">+AE27+AE88</f>
        <v>-60442.77999999997</v>
      </c>
      <c r="AF90" s="53">
        <f t="shared" si="20"/>
        <v>58713.120000000024</v>
      </c>
      <c r="AG90" s="53">
        <f t="shared" si="20"/>
        <v>-124909.88</v>
      </c>
      <c r="AH90" s="53">
        <f t="shared" si="20"/>
        <v>-131666.24000000002</v>
      </c>
      <c r="AI90" s="53">
        <f t="shared" si="20"/>
        <v>-11580.420000000042</v>
      </c>
      <c r="AJ90" s="53">
        <f t="shared" si="20"/>
        <v>-78175.589999999967</v>
      </c>
      <c r="AK90" s="53">
        <f t="shared" si="20"/>
        <v>7469.2033333333384</v>
      </c>
      <c r="AL90" s="53">
        <f t="shared" si="20"/>
        <v>141606.64999999997</v>
      </c>
      <c r="AM90" s="52"/>
      <c r="AN90" s="52"/>
      <c r="AO90" s="52"/>
    </row>
    <row r="91" spans="1:41" s="76" customFormat="1" ht="15" x14ac:dyDescent="0.5">
      <c r="A91" s="62">
        <f t="shared" ref="A91:G91" si="21">+A3</f>
        <v>2019</v>
      </c>
      <c r="B91" s="62">
        <f t="shared" si="21"/>
        <v>4</v>
      </c>
      <c r="C91" s="62">
        <f t="shared" si="21"/>
        <v>5</v>
      </c>
      <c r="D91" s="62">
        <f t="shared" si="21"/>
        <v>6</v>
      </c>
      <c r="E91" s="62">
        <f t="shared" si="21"/>
        <v>7</v>
      </c>
      <c r="F91" s="62">
        <f t="shared" si="21"/>
        <v>8</v>
      </c>
      <c r="G91" s="62">
        <f t="shared" si="21"/>
        <v>9</v>
      </c>
      <c r="H91" s="62">
        <v>10</v>
      </c>
      <c r="I91" s="62">
        <v>11</v>
      </c>
      <c r="J91" s="62">
        <v>12</v>
      </c>
      <c r="K91" s="62">
        <v>1</v>
      </c>
      <c r="L91" s="62">
        <v>2</v>
      </c>
      <c r="M91" s="62">
        <v>3</v>
      </c>
      <c r="N91" s="62">
        <v>4</v>
      </c>
      <c r="O91" s="62">
        <v>5</v>
      </c>
      <c r="P91" s="62">
        <v>6</v>
      </c>
      <c r="Q91" s="62">
        <v>7</v>
      </c>
      <c r="R91" s="62">
        <v>8</v>
      </c>
      <c r="S91" s="62">
        <v>9</v>
      </c>
      <c r="T91" s="62">
        <v>10</v>
      </c>
      <c r="U91" s="62">
        <v>11</v>
      </c>
      <c r="V91" s="62">
        <v>12</v>
      </c>
      <c r="W91" s="62">
        <v>1</v>
      </c>
      <c r="X91" s="62">
        <v>2</v>
      </c>
      <c r="Y91" s="62">
        <v>3</v>
      </c>
      <c r="Z91" s="62">
        <v>4</v>
      </c>
      <c r="AA91" s="62">
        <v>5</v>
      </c>
      <c r="AB91" s="62">
        <v>6</v>
      </c>
      <c r="AC91" s="62">
        <v>7</v>
      </c>
      <c r="AD91" s="62">
        <v>8</v>
      </c>
      <c r="AE91" s="62">
        <v>9</v>
      </c>
      <c r="AF91" s="62">
        <v>10</v>
      </c>
      <c r="AG91" s="62">
        <v>11</v>
      </c>
      <c r="AH91" s="62">
        <v>12</v>
      </c>
      <c r="AI91" s="62">
        <v>1</v>
      </c>
      <c r="AJ91" s="62">
        <v>2</v>
      </c>
      <c r="AK91" s="62">
        <v>3</v>
      </c>
      <c r="AL91" s="62">
        <v>4</v>
      </c>
      <c r="AM91" s="62"/>
      <c r="AN91" s="62"/>
      <c r="AO91" s="62"/>
    </row>
    <row r="92" spans="1:41" s="89" customFormat="1" ht="15" x14ac:dyDescent="0.5">
      <c r="A92" s="59" t="s">
        <v>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</row>
    <row r="93" spans="1:41" s="96" customFormat="1" x14ac:dyDescent="0.4">
      <c r="A93" s="59" t="s">
        <v>9</v>
      </c>
      <c r="B93" s="76">
        <f>SUM(B94:B97)</f>
        <v>-41759.67</v>
      </c>
      <c r="C93" s="76">
        <f t="shared" ref="C93:AH93" si="22">+B99</f>
        <v>-61336.329999999994</v>
      </c>
      <c r="D93" s="76">
        <f t="shared" si="22"/>
        <v>-152703.15999999997</v>
      </c>
      <c r="E93" s="76">
        <f t="shared" si="22"/>
        <v>-165126.60999999999</v>
      </c>
      <c r="F93" s="76">
        <f t="shared" si="22"/>
        <v>-96659.25999999998</v>
      </c>
      <c r="G93" s="76">
        <f t="shared" si="22"/>
        <v>-95914.209999999977</v>
      </c>
      <c r="H93" s="76">
        <f t="shared" si="22"/>
        <v>-61009.38999999997</v>
      </c>
      <c r="I93" s="76">
        <f t="shared" si="22"/>
        <v>-127831.08999999998</v>
      </c>
      <c r="J93" s="76">
        <f t="shared" si="22"/>
        <v>-138896.45999999996</v>
      </c>
      <c r="K93" s="76">
        <f t="shared" si="22"/>
        <v>-239843.34999999998</v>
      </c>
      <c r="L93" s="76">
        <f t="shared" si="22"/>
        <v>-303452.26999999996</v>
      </c>
      <c r="M93" s="76">
        <f t="shared" si="22"/>
        <v>-270175.63</v>
      </c>
      <c r="N93" s="76">
        <f t="shared" si="22"/>
        <v>-235946.2</v>
      </c>
      <c r="O93" s="76">
        <f t="shared" si="22"/>
        <v>-231692.28000000003</v>
      </c>
      <c r="P93" s="76">
        <f t="shared" si="22"/>
        <v>-238421.2</v>
      </c>
      <c r="Q93" s="76">
        <f t="shared" si="22"/>
        <v>-223100.87000000002</v>
      </c>
      <c r="R93" s="76">
        <f t="shared" si="22"/>
        <v>-279472.84999999998</v>
      </c>
      <c r="S93" s="76">
        <f t="shared" si="22"/>
        <v>-305192.05</v>
      </c>
      <c r="T93" s="76">
        <f t="shared" si="22"/>
        <v>-300583.57</v>
      </c>
      <c r="U93" s="76">
        <f t="shared" si="22"/>
        <v>-235028.95</v>
      </c>
      <c r="V93" s="76">
        <f t="shared" si="22"/>
        <v>-102415.35000000003</v>
      </c>
      <c r="W93" s="76">
        <f t="shared" si="22"/>
        <v>-229924.38000000003</v>
      </c>
      <c r="X93" s="76">
        <f t="shared" si="22"/>
        <v>-239155.77000000005</v>
      </c>
      <c r="Y93" s="76">
        <f t="shared" si="22"/>
        <v>-225597.68000000005</v>
      </c>
      <c r="Z93" s="76">
        <f t="shared" si="22"/>
        <v>-261054.55000000008</v>
      </c>
      <c r="AA93" s="76">
        <f t="shared" si="22"/>
        <v>-344594.67000000004</v>
      </c>
      <c r="AB93" s="76">
        <f t="shared" si="22"/>
        <v>-390964.42000000004</v>
      </c>
      <c r="AC93" s="76">
        <f t="shared" si="22"/>
        <v>-575822.06000000006</v>
      </c>
      <c r="AD93" s="76">
        <f t="shared" si="22"/>
        <v>-557361.63000000012</v>
      </c>
      <c r="AE93" s="76">
        <f>+AD99</f>
        <v>-653557.15000000014</v>
      </c>
      <c r="AF93" s="76">
        <f t="shared" si="22"/>
        <v>-713999.93000000017</v>
      </c>
      <c r="AG93" s="76">
        <f t="shared" si="22"/>
        <v>-655286.81000000017</v>
      </c>
      <c r="AH93" s="76">
        <f t="shared" si="22"/>
        <v>-780196.69000000018</v>
      </c>
      <c r="AI93" s="76">
        <f>+AH99</f>
        <v>-911862.93000000017</v>
      </c>
      <c r="AJ93" s="76">
        <f t="shared" ref="AJ93:AL93" si="23">+AI99</f>
        <v>-923443.35000000021</v>
      </c>
      <c r="AK93" s="76">
        <f t="shared" si="23"/>
        <v>-1001618.9400000002</v>
      </c>
      <c r="AL93" s="76">
        <f t="shared" si="23"/>
        <v>-994149.73666666681</v>
      </c>
      <c r="AM93" s="76">
        <f>+AL99</f>
        <v>-852543.0866666669</v>
      </c>
      <c r="AN93" s="76"/>
      <c r="AO93" s="76"/>
    </row>
    <row r="94" spans="1:41" s="62" customFormat="1" ht="12.75" customHeight="1" x14ac:dyDescent="0.5">
      <c r="A94" s="82" t="s">
        <v>114</v>
      </c>
      <c r="B94" s="76">
        <v>370</v>
      </c>
      <c r="C94" s="76">
        <v>273.94</v>
      </c>
      <c r="D94" s="76">
        <v>265.72000000000003</v>
      </c>
      <c r="E94" s="76">
        <v>81.62</v>
      </c>
      <c r="F94" s="76">
        <v>3668.37</v>
      </c>
      <c r="G94" s="76">
        <v>7468.89</v>
      </c>
      <c r="H94" s="76">
        <v>7421.82</v>
      </c>
      <c r="I94" s="76">
        <v>-25723.18</v>
      </c>
      <c r="J94" s="76">
        <v>-87288.2</v>
      </c>
      <c r="K94" s="76">
        <v>-104290.16</v>
      </c>
      <c r="L94" s="76">
        <v>-117104.06</v>
      </c>
      <c r="M94" s="97">
        <v>-72021.69</v>
      </c>
      <c r="N94" s="76">
        <v>-15637</v>
      </c>
      <c r="O94" s="76">
        <v>-7314.28</v>
      </c>
      <c r="P94" s="76">
        <v>-82361.070000000007</v>
      </c>
      <c r="Q94" s="76">
        <v>-82361.070000000007</v>
      </c>
      <c r="R94" s="76">
        <v>-161591.51</v>
      </c>
      <c r="S94" s="76">
        <v>-149959.57</v>
      </c>
      <c r="T94" s="76">
        <v>-140367.51</v>
      </c>
      <c r="U94" s="76">
        <v>-98926.65</v>
      </c>
      <c r="V94" s="76">
        <v>-78351.240000000005</v>
      </c>
      <c r="W94" s="76">
        <v>-78351.240000000005</v>
      </c>
      <c r="X94" s="76">
        <v>-61105.23</v>
      </c>
      <c r="Y94" s="76">
        <v>-71340.66</v>
      </c>
      <c r="Z94" s="76">
        <v>-101411.83</v>
      </c>
      <c r="AA94" s="76">
        <v>-140127.56</v>
      </c>
      <c r="AB94" s="76">
        <v>-176711.05</v>
      </c>
      <c r="AC94" s="76">
        <v>-198115.05</v>
      </c>
      <c r="AD94" s="76">
        <v>-228361.96</v>
      </c>
      <c r="AE94" s="76">
        <v>-307478.77</v>
      </c>
      <c r="AF94" s="76">
        <v>-288053.33</v>
      </c>
      <c r="AG94" s="76">
        <v>-230388.65</v>
      </c>
      <c r="AH94" s="76">
        <f>+AG94/AG93*AH93</f>
        <v>-274305.02094734437</v>
      </c>
      <c r="AI94" s="76">
        <f t="shared" ref="AI94:AM97" si="24">+AH94/AH93*AI93</f>
        <v>-320596.82298159559</v>
      </c>
      <c r="AJ94" s="76">
        <f t="shared" si="24"/>
        <v>-324668.31853059499</v>
      </c>
      <c r="AK94" s="76">
        <f t="shared" si="24"/>
        <v>-352153.6400237187</v>
      </c>
      <c r="AL94" s="76">
        <f t="shared" si="24"/>
        <v>-349527.58430844778</v>
      </c>
      <c r="AM94" s="76">
        <f t="shared" si="24"/>
        <v>-299740.88873231912</v>
      </c>
      <c r="AN94" s="76"/>
      <c r="AO94" s="76"/>
    </row>
    <row r="95" spans="1:41" s="76" customFormat="1" x14ac:dyDescent="0.4">
      <c r="A95" s="82" t="s">
        <v>101</v>
      </c>
      <c r="B95" s="76">
        <v>-42129.67</v>
      </c>
      <c r="C95" s="76">
        <v>-61610.27</v>
      </c>
      <c r="D95" s="76">
        <v>-152968.88</v>
      </c>
      <c r="E95" s="76">
        <v>-165208.23000000001</v>
      </c>
      <c r="F95" s="76">
        <v>-100327.63</v>
      </c>
      <c r="G95" s="76">
        <v>-103383.1</v>
      </c>
      <c r="H95" s="76">
        <v>-68431.210000000006</v>
      </c>
      <c r="I95" s="76">
        <v>-102107.91</v>
      </c>
      <c r="J95" s="76">
        <v>-51608.26</v>
      </c>
      <c r="K95" s="76">
        <v>-135553.19</v>
      </c>
      <c r="L95" s="76">
        <v>-186348.21</v>
      </c>
      <c r="M95" s="97">
        <f>-217465.5+147.56+6138+3+3+5400+3120+4500</f>
        <v>-198153.94</v>
      </c>
      <c r="N95" s="76">
        <f>-229758.6+4500+6138-1188.6</f>
        <v>-220309.2</v>
      </c>
      <c r="O95" s="76">
        <v>-224378</v>
      </c>
      <c r="P95" s="76">
        <v>-156060.13</v>
      </c>
      <c r="Q95" s="76">
        <v>-140739.79999999999</v>
      </c>
      <c r="R95" s="76">
        <v>-117881.34</v>
      </c>
      <c r="S95" s="76">
        <v>-155232.48000000001</v>
      </c>
      <c r="T95" s="76">
        <v>-98068.36</v>
      </c>
      <c r="U95" s="76">
        <v>-73926.19</v>
      </c>
      <c r="V95" s="76">
        <v>38112</v>
      </c>
      <c r="W95" s="76">
        <v>-113034.88</v>
      </c>
      <c r="X95" s="76">
        <v>-139483.87</v>
      </c>
      <c r="Y95" s="76">
        <v>-115662.02</v>
      </c>
      <c r="Z95" s="76">
        <v>-8262.7800000000007</v>
      </c>
      <c r="AA95" s="76">
        <v>-53067.17</v>
      </c>
      <c r="AB95" s="76">
        <v>-69621.009999999995</v>
      </c>
      <c r="AC95" s="76">
        <f>-126685.35-66851.34</f>
        <v>-193536.69</v>
      </c>
      <c r="AD95" s="76">
        <v>-202399.65</v>
      </c>
      <c r="AE95" s="76">
        <v>-140418.13</v>
      </c>
      <c r="AF95" s="76">
        <v>-223075.47</v>
      </c>
      <c r="AG95" s="76">
        <v>-223382.15</v>
      </c>
      <c r="AH95" s="76">
        <f t="shared" ref="AH95:AH97" si="25">+AG95/AG94*AH94</f>
        <v>-265962.95145187411</v>
      </c>
      <c r="AI95" s="76">
        <f t="shared" si="24"/>
        <v>-310846.94320140436</v>
      </c>
      <c r="AJ95" s="76">
        <f t="shared" si="24"/>
        <v>-314794.61783490266</v>
      </c>
      <c r="AK95" s="76">
        <f t="shared" si="24"/>
        <v>-341444.0652298815</v>
      </c>
      <c r="AL95" s="76">
        <f t="shared" si="24"/>
        <v>-338897.87221344165</v>
      </c>
      <c r="AM95" s="76">
        <f t="shared" si="24"/>
        <v>-290625.27241657185</v>
      </c>
    </row>
    <row r="96" spans="1:41" s="76" customFormat="1" x14ac:dyDescent="0.4">
      <c r="A96" s="82" t="s">
        <v>63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-62147.7</v>
      </c>
      <c r="U96" s="76">
        <v>-62176.11</v>
      </c>
      <c r="V96" s="76">
        <v>-62176.11</v>
      </c>
      <c r="W96" s="76">
        <v>-38538.26</v>
      </c>
      <c r="X96" s="76">
        <v>-38566.67</v>
      </c>
      <c r="Y96" s="76">
        <v>-38595</v>
      </c>
      <c r="Z96" s="76">
        <v>-151379.94</v>
      </c>
      <c r="AA96" s="76">
        <v>-151399.94</v>
      </c>
      <c r="AB96" s="76">
        <v>-144632.35999999999</v>
      </c>
      <c r="AC96" s="76">
        <f>-135170.32-49000</f>
        <v>-184170.32</v>
      </c>
      <c r="AD96" s="76">
        <v>-126600.02</v>
      </c>
      <c r="AE96" s="76">
        <v>-205660.25</v>
      </c>
      <c r="AF96" s="76">
        <f>+AF93-AF95-AF94</f>
        <v>-202871.13000000018</v>
      </c>
      <c r="AG96" s="76">
        <v>-185606.75</v>
      </c>
      <c r="AH96" s="76">
        <f t="shared" si="25"/>
        <v>-220986.85610909437</v>
      </c>
      <c r="AI96" s="76">
        <f t="shared" si="24"/>
        <v>-258280.66779304997</v>
      </c>
      <c r="AJ96" s="76">
        <f t="shared" si="24"/>
        <v>-261560.76451868835</v>
      </c>
      <c r="AK96" s="76">
        <f t="shared" si="24"/>
        <v>-283703.61398216605</v>
      </c>
      <c r="AL96" s="76">
        <f t="shared" si="24"/>
        <v>-281587.99905655946</v>
      </c>
      <c r="AM96" s="76">
        <f t="shared" si="24"/>
        <v>-241478.61537327204</v>
      </c>
    </row>
    <row r="97" spans="1:41" s="76" customFormat="1" x14ac:dyDescent="0.4">
      <c r="A97" s="82" t="s">
        <v>70</v>
      </c>
      <c r="AG97" s="76">
        <f>+AG93-AG94-AG95-AG96</f>
        <v>-15909.260000000155</v>
      </c>
      <c r="AH97" s="76">
        <f t="shared" si="25"/>
        <v>-18941.861491687156</v>
      </c>
      <c r="AI97" s="76">
        <f t="shared" si="24"/>
        <v>-22138.496023950091</v>
      </c>
      <c r="AJ97" s="76">
        <f t="shared" si="24"/>
        <v>-22419.6491158141</v>
      </c>
      <c r="AK97" s="76">
        <f t="shared" si="24"/>
        <v>-24317.620764233841</v>
      </c>
      <c r="AL97" s="76">
        <f t="shared" si="24"/>
        <v>-24136.281088217984</v>
      </c>
      <c r="AM97" s="76">
        <f t="shared" si="24"/>
        <v>-20698.310144504008</v>
      </c>
    </row>
    <row r="98" spans="1:41" s="54" customFormat="1" x14ac:dyDescent="0.4">
      <c r="A98" s="52" t="s">
        <v>115</v>
      </c>
      <c r="B98" s="101">
        <f t="shared" ref="B98:AL98" si="26">+B27+B88</f>
        <v>-53389</v>
      </c>
      <c r="C98" s="101">
        <f t="shared" si="26"/>
        <v>-91366.829999999987</v>
      </c>
      <c r="D98" s="101">
        <f t="shared" si="26"/>
        <v>-12423.450000000026</v>
      </c>
      <c r="E98" s="101">
        <f t="shared" si="26"/>
        <v>68467.350000000006</v>
      </c>
      <c r="F98" s="101">
        <f t="shared" si="26"/>
        <v>745.05000000000291</v>
      </c>
      <c r="G98" s="101">
        <f t="shared" si="26"/>
        <v>34904.820000000007</v>
      </c>
      <c r="H98" s="101">
        <f t="shared" si="26"/>
        <v>-66821.700000000012</v>
      </c>
      <c r="I98" s="101">
        <f t="shared" si="26"/>
        <v>-11065.369999999995</v>
      </c>
      <c r="J98" s="101">
        <f t="shared" si="26"/>
        <v>-100946.89000000001</v>
      </c>
      <c r="K98" s="101">
        <f t="shared" si="26"/>
        <v>-63608.92</v>
      </c>
      <c r="L98" s="101">
        <f t="shared" si="26"/>
        <v>33276.63999999997</v>
      </c>
      <c r="M98" s="101">
        <f t="shared" si="26"/>
        <v>34229.429999999978</v>
      </c>
      <c r="N98" s="101">
        <f t="shared" si="26"/>
        <v>4253.9199999999983</v>
      </c>
      <c r="O98" s="101">
        <f t="shared" si="26"/>
        <v>-6728.9199999999983</v>
      </c>
      <c r="P98" s="101">
        <f t="shared" si="26"/>
        <v>15320.329999999987</v>
      </c>
      <c r="Q98" s="101">
        <f t="shared" si="26"/>
        <v>-56371.97999999996</v>
      </c>
      <c r="R98" s="101">
        <f t="shared" si="26"/>
        <v>-25719.199999999997</v>
      </c>
      <c r="S98" s="101">
        <f t="shared" si="26"/>
        <v>4608.4799999999959</v>
      </c>
      <c r="T98" s="101">
        <f t="shared" si="26"/>
        <v>65554.62</v>
      </c>
      <c r="U98" s="101">
        <f t="shared" si="26"/>
        <v>132613.59999999998</v>
      </c>
      <c r="V98" s="101">
        <f t="shared" si="26"/>
        <v>-127509.03</v>
      </c>
      <c r="W98" s="101">
        <f t="shared" si="26"/>
        <v>-9231.390000000014</v>
      </c>
      <c r="X98" s="101">
        <f t="shared" si="26"/>
        <v>13558.089999999982</v>
      </c>
      <c r="Y98" s="101">
        <f t="shared" si="26"/>
        <v>-35456.870000000017</v>
      </c>
      <c r="Z98" s="101">
        <f t="shared" si="26"/>
        <v>-83540.119999999966</v>
      </c>
      <c r="AA98" s="101">
        <f t="shared" si="26"/>
        <v>-46369.75</v>
      </c>
      <c r="AB98" s="101">
        <f t="shared" si="26"/>
        <v>-184857.64</v>
      </c>
      <c r="AC98" s="101">
        <f t="shared" si="26"/>
        <v>18460.429999999993</v>
      </c>
      <c r="AD98" s="101">
        <f t="shared" si="26"/>
        <v>-96195.520000000019</v>
      </c>
      <c r="AE98" s="52">
        <f t="shared" si="26"/>
        <v>-60442.77999999997</v>
      </c>
      <c r="AF98" s="52">
        <f t="shared" si="26"/>
        <v>58713.120000000024</v>
      </c>
      <c r="AG98" s="52">
        <f t="shared" si="26"/>
        <v>-124909.88</v>
      </c>
      <c r="AH98" s="52">
        <f t="shared" si="26"/>
        <v>-131666.24000000002</v>
      </c>
      <c r="AI98" s="52">
        <f t="shared" si="26"/>
        <v>-11580.420000000042</v>
      </c>
      <c r="AJ98" s="52">
        <f t="shared" si="26"/>
        <v>-78175.589999999967</v>
      </c>
      <c r="AK98" s="52">
        <f t="shared" si="26"/>
        <v>7469.2033333333384</v>
      </c>
      <c r="AL98" s="52">
        <f t="shared" si="26"/>
        <v>141606.64999999997</v>
      </c>
      <c r="AM98" s="101"/>
      <c r="AN98" s="101"/>
      <c r="AO98" s="101"/>
    </row>
    <row r="99" spans="1:41" s="104" customFormat="1" ht="14.1" x14ac:dyDescent="0.5">
      <c r="A99" s="102" t="s">
        <v>116</v>
      </c>
      <c r="B99" s="103">
        <f>-61610.27+273.94</f>
        <v>-61336.329999999994</v>
      </c>
      <c r="C99" s="103">
        <f t="shared" ref="C99:AI99" si="27">+C93+C98</f>
        <v>-152703.15999999997</v>
      </c>
      <c r="D99" s="103">
        <f t="shared" si="27"/>
        <v>-165126.60999999999</v>
      </c>
      <c r="E99" s="103">
        <f t="shared" si="27"/>
        <v>-96659.25999999998</v>
      </c>
      <c r="F99" s="103">
        <f t="shared" si="27"/>
        <v>-95914.209999999977</v>
      </c>
      <c r="G99" s="103">
        <f t="shared" si="27"/>
        <v>-61009.38999999997</v>
      </c>
      <c r="H99" s="103">
        <f t="shared" si="27"/>
        <v>-127831.08999999998</v>
      </c>
      <c r="I99" s="103">
        <f t="shared" si="27"/>
        <v>-138896.45999999996</v>
      </c>
      <c r="J99" s="103">
        <f t="shared" si="27"/>
        <v>-239843.34999999998</v>
      </c>
      <c r="K99" s="103">
        <f t="shared" si="27"/>
        <v>-303452.26999999996</v>
      </c>
      <c r="L99" s="103">
        <f t="shared" si="27"/>
        <v>-270175.63</v>
      </c>
      <c r="M99" s="103">
        <f t="shared" si="27"/>
        <v>-235946.2</v>
      </c>
      <c r="N99" s="103">
        <f t="shared" si="27"/>
        <v>-231692.28000000003</v>
      </c>
      <c r="O99" s="103">
        <f t="shared" si="27"/>
        <v>-238421.2</v>
      </c>
      <c r="P99" s="103">
        <f t="shared" si="27"/>
        <v>-223100.87000000002</v>
      </c>
      <c r="Q99" s="103">
        <f t="shared" si="27"/>
        <v>-279472.84999999998</v>
      </c>
      <c r="R99" s="103">
        <f t="shared" si="27"/>
        <v>-305192.05</v>
      </c>
      <c r="S99" s="103">
        <f t="shared" si="27"/>
        <v>-300583.57</v>
      </c>
      <c r="T99" s="103">
        <f t="shared" si="27"/>
        <v>-235028.95</v>
      </c>
      <c r="U99" s="103">
        <f t="shared" si="27"/>
        <v>-102415.35000000003</v>
      </c>
      <c r="V99" s="103">
        <f t="shared" si="27"/>
        <v>-229924.38000000003</v>
      </c>
      <c r="W99" s="103">
        <f t="shared" si="27"/>
        <v>-239155.77000000005</v>
      </c>
      <c r="X99" s="103">
        <f t="shared" si="27"/>
        <v>-225597.68000000005</v>
      </c>
      <c r="Y99" s="103">
        <f t="shared" si="27"/>
        <v>-261054.55000000008</v>
      </c>
      <c r="Z99" s="103">
        <f t="shared" si="27"/>
        <v>-344594.67000000004</v>
      </c>
      <c r="AA99" s="103">
        <f t="shared" si="27"/>
        <v>-390964.42000000004</v>
      </c>
      <c r="AB99" s="103">
        <f t="shared" si="27"/>
        <v>-575822.06000000006</v>
      </c>
      <c r="AC99" s="103">
        <f t="shared" si="27"/>
        <v>-557361.63000000012</v>
      </c>
      <c r="AD99" s="103">
        <f t="shared" si="27"/>
        <v>-653557.15000000014</v>
      </c>
      <c r="AE99" s="131">
        <f t="shared" si="27"/>
        <v>-713999.93000000017</v>
      </c>
      <c r="AF99" s="131">
        <f t="shared" si="27"/>
        <v>-655286.81000000017</v>
      </c>
      <c r="AG99" s="131">
        <f t="shared" si="27"/>
        <v>-780196.69000000018</v>
      </c>
      <c r="AH99" s="131">
        <f t="shared" si="27"/>
        <v>-911862.93000000017</v>
      </c>
      <c r="AI99" s="131">
        <f t="shared" si="27"/>
        <v>-923443.35000000021</v>
      </c>
      <c r="AJ99" s="131">
        <f t="shared" ref="AJ99:AL99" si="28">+AJ93+AJ98</f>
        <v>-1001618.9400000002</v>
      </c>
      <c r="AK99" s="131">
        <f t="shared" si="28"/>
        <v>-994149.73666666681</v>
      </c>
      <c r="AL99" s="131">
        <f t="shared" si="28"/>
        <v>-852543.0866666669</v>
      </c>
      <c r="AM99" s="103"/>
      <c r="AN99" s="103"/>
      <c r="AO99" s="103"/>
    </row>
    <row r="100" spans="1:41" s="76" customFormat="1" ht="14.1" x14ac:dyDescent="0.5">
      <c r="A100" s="75" t="s">
        <v>118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</row>
    <row r="101" spans="1:41" s="76" customFormat="1" ht="14.1" x14ac:dyDescent="0.5">
      <c r="A101" s="82" t="s">
        <v>117</v>
      </c>
      <c r="B101" s="76">
        <v>43589.25</v>
      </c>
      <c r="C101" s="76">
        <f t="shared" ref="C101:AL101" si="29">+B101+C7-C15</f>
        <v>127406.85</v>
      </c>
      <c r="D101" s="76">
        <f t="shared" si="29"/>
        <v>127406.85</v>
      </c>
      <c r="E101" s="76">
        <f t="shared" si="29"/>
        <v>83817.600000000006</v>
      </c>
      <c r="F101" s="76">
        <f t="shared" si="29"/>
        <v>50337</v>
      </c>
      <c r="G101" s="76">
        <f t="shared" si="29"/>
        <v>50337</v>
      </c>
      <c r="H101" s="76">
        <f t="shared" si="29"/>
        <v>28482</v>
      </c>
      <c r="I101" s="76">
        <f t="shared" si="29"/>
        <v>94107.24</v>
      </c>
      <c r="J101" s="76">
        <f t="shared" si="29"/>
        <v>74155.570000000007</v>
      </c>
      <c r="K101" s="76">
        <f t="shared" si="29"/>
        <v>108243.24</v>
      </c>
      <c r="L101" s="76">
        <f t="shared" si="29"/>
        <v>66936.240000000005</v>
      </c>
      <c r="M101" s="76">
        <f t="shared" si="29"/>
        <v>10540.000000000007</v>
      </c>
      <c r="N101" s="76">
        <f t="shared" si="29"/>
        <v>0</v>
      </c>
      <c r="O101" s="76">
        <f t="shared" si="29"/>
        <v>63458.44</v>
      </c>
      <c r="P101" s="76">
        <f t="shared" si="29"/>
        <v>104362.83</v>
      </c>
      <c r="Q101" s="76">
        <f t="shared" si="29"/>
        <v>112255.39000000001</v>
      </c>
      <c r="R101" s="76">
        <f t="shared" si="29"/>
        <v>131061.39000000001</v>
      </c>
      <c r="S101" s="76">
        <f t="shared" si="29"/>
        <v>104234.79000000001</v>
      </c>
      <c r="T101" s="76">
        <f t="shared" si="29"/>
        <v>61290.000000000007</v>
      </c>
      <c r="U101" s="76">
        <f t="shared" si="29"/>
        <v>39566</v>
      </c>
      <c r="V101" s="76">
        <f t="shared" si="29"/>
        <v>39566</v>
      </c>
      <c r="W101" s="76">
        <f t="shared" si="29"/>
        <v>20810</v>
      </c>
      <c r="X101" s="76">
        <f t="shared" si="29"/>
        <v>31020.79</v>
      </c>
      <c r="Y101" s="76">
        <f t="shared" si="29"/>
        <v>60958.45</v>
      </c>
      <c r="Z101" s="76">
        <f t="shared" si="29"/>
        <v>99843.43</v>
      </c>
      <c r="AA101" s="76">
        <f t="shared" si="29"/>
        <v>138422.16999999998</v>
      </c>
      <c r="AB101" s="76">
        <f t="shared" si="29"/>
        <v>160881.58999999997</v>
      </c>
      <c r="AC101" s="76">
        <f t="shared" si="29"/>
        <v>335806.47</v>
      </c>
      <c r="AD101" s="76">
        <f t="shared" si="29"/>
        <v>218603.49</v>
      </c>
      <c r="AE101" s="76">
        <f>+AD101+AE7-AE15</f>
        <v>287191.91999999993</v>
      </c>
      <c r="AF101" s="76">
        <f t="shared" si="29"/>
        <v>250620.68999999992</v>
      </c>
      <c r="AG101" s="76">
        <f t="shared" si="29"/>
        <v>175870.35999999993</v>
      </c>
      <c r="AH101" s="76">
        <f t="shared" si="29"/>
        <v>138269.09999999992</v>
      </c>
      <c r="AI101" s="76">
        <f t="shared" si="29"/>
        <v>122915.97999999992</v>
      </c>
      <c r="AJ101" s="76">
        <f t="shared" si="29"/>
        <v>15424.499999999927</v>
      </c>
      <c r="AK101" s="76">
        <f t="shared" si="29"/>
        <v>-7.2759576141834259E-11</v>
      </c>
      <c r="AL101" s="76">
        <f t="shared" si="29"/>
        <v>-7.2759576141834259E-11</v>
      </c>
      <c r="AM101" s="105"/>
      <c r="AN101" s="105"/>
      <c r="AO101" s="105"/>
    </row>
    <row r="102" spans="1:41" s="76" customFormat="1" ht="14.1" x14ac:dyDescent="0.5">
      <c r="A102" s="82" t="s">
        <v>102</v>
      </c>
      <c r="B102" s="76">
        <v>228496.62</v>
      </c>
      <c r="C102" s="76">
        <f t="shared" ref="C102:AL102" si="30">+B102+C6-C14</f>
        <v>175999.81999999998</v>
      </c>
      <c r="D102" s="76">
        <f t="shared" si="30"/>
        <v>196176.92999999996</v>
      </c>
      <c r="E102" s="76">
        <f t="shared" si="30"/>
        <v>139023.04999999996</v>
      </c>
      <c r="F102" s="76">
        <f t="shared" si="30"/>
        <v>200746.20999999996</v>
      </c>
      <c r="G102" s="76">
        <f t="shared" si="30"/>
        <v>102720.36999999997</v>
      </c>
      <c r="H102" s="76">
        <f t="shared" si="30"/>
        <v>156031.40999999997</v>
      </c>
      <c r="I102" s="76">
        <f t="shared" si="30"/>
        <v>133554.12999999998</v>
      </c>
      <c r="J102" s="76">
        <f t="shared" si="30"/>
        <v>0</v>
      </c>
      <c r="K102" s="76">
        <f t="shared" si="30"/>
        <v>224573.26</v>
      </c>
      <c r="L102" s="76">
        <f t="shared" si="30"/>
        <v>244122.03999999998</v>
      </c>
      <c r="M102" s="76">
        <f t="shared" si="30"/>
        <v>209669.87</v>
      </c>
      <c r="N102" s="76">
        <f t="shared" si="30"/>
        <v>168656.81</v>
      </c>
      <c r="O102" s="76">
        <f t="shared" si="30"/>
        <v>117443.3</v>
      </c>
      <c r="P102" s="76">
        <f t="shared" si="30"/>
        <v>164225.16000000003</v>
      </c>
      <c r="Q102" s="76">
        <f t="shared" si="30"/>
        <v>154343.50000000003</v>
      </c>
      <c r="R102" s="76">
        <f t="shared" si="30"/>
        <v>132575.11000000004</v>
      </c>
      <c r="S102" s="76">
        <f t="shared" si="30"/>
        <v>60348.650000000052</v>
      </c>
      <c r="T102" s="76">
        <f t="shared" si="30"/>
        <v>29802.690000000053</v>
      </c>
      <c r="U102" s="76">
        <f t="shared" si="30"/>
        <v>87591.350000000064</v>
      </c>
      <c r="V102" s="76">
        <f t="shared" si="30"/>
        <v>137061.77000000005</v>
      </c>
      <c r="W102" s="76">
        <f t="shared" si="30"/>
        <v>135945.38000000003</v>
      </c>
      <c r="X102" s="76">
        <f t="shared" si="30"/>
        <v>115026.44000000003</v>
      </c>
      <c r="Y102" s="76">
        <f t="shared" si="30"/>
        <v>71422.000000000029</v>
      </c>
      <c r="Z102" s="76">
        <f t="shared" si="30"/>
        <v>39600.000000000029</v>
      </c>
      <c r="AA102" s="76">
        <f t="shared" si="30"/>
        <v>39600.000000000029</v>
      </c>
      <c r="AB102" s="76">
        <f t="shared" si="30"/>
        <v>147839.20000000001</v>
      </c>
      <c r="AC102" s="76">
        <f t="shared" si="30"/>
        <v>170839.2</v>
      </c>
      <c r="AD102" s="76">
        <f t="shared" si="30"/>
        <v>306048.03000000003</v>
      </c>
      <c r="AE102" s="76">
        <f>+AD102+AE6-AE14</f>
        <v>300145.90000000002</v>
      </c>
      <c r="AF102" s="76">
        <f t="shared" si="30"/>
        <v>274691.86</v>
      </c>
      <c r="AG102" s="76">
        <f t="shared" si="30"/>
        <v>384497.49</v>
      </c>
      <c r="AH102" s="76">
        <f t="shared" si="30"/>
        <v>599179.81333333324</v>
      </c>
      <c r="AI102" s="76">
        <f t="shared" si="30"/>
        <v>612326.86333333328</v>
      </c>
      <c r="AJ102" s="76">
        <f t="shared" si="30"/>
        <v>601064.46333333326</v>
      </c>
      <c r="AK102" s="76">
        <f t="shared" si="30"/>
        <v>430243.89999999991</v>
      </c>
      <c r="AL102" s="76">
        <f t="shared" si="30"/>
        <v>125890.29999999993</v>
      </c>
      <c r="AM102" s="105"/>
      <c r="AN102" s="105"/>
      <c r="AO102" s="105"/>
    </row>
    <row r="103" spans="1:41" s="76" customFormat="1" ht="14.1" x14ac:dyDescent="0.5">
      <c r="A103" s="82" t="s">
        <v>64</v>
      </c>
      <c r="K103" s="76">
        <v>0</v>
      </c>
      <c r="L103" s="76">
        <f t="shared" ref="L103:AL103" si="31">+K103+L8-L16</f>
        <v>0</v>
      </c>
      <c r="M103" s="76">
        <f t="shared" si="31"/>
        <v>0</v>
      </c>
      <c r="N103" s="76">
        <f t="shared" si="31"/>
        <v>0</v>
      </c>
      <c r="O103" s="76">
        <f t="shared" si="31"/>
        <v>0</v>
      </c>
      <c r="P103" s="76">
        <f t="shared" si="31"/>
        <v>0</v>
      </c>
      <c r="Q103" s="76">
        <f t="shared" si="31"/>
        <v>0</v>
      </c>
      <c r="R103" s="76">
        <f t="shared" si="31"/>
        <v>0</v>
      </c>
      <c r="S103" s="76">
        <f t="shared" si="31"/>
        <v>24720</v>
      </c>
      <c r="T103" s="76">
        <f t="shared" si="31"/>
        <v>24720</v>
      </c>
      <c r="U103" s="76">
        <f t="shared" si="31"/>
        <v>24720</v>
      </c>
      <c r="V103" s="76">
        <f t="shared" si="31"/>
        <v>0</v>
      </c>
      <c r="W103" s="76">
        <f t="shared" si="31"/>
        <v>0</v>
      </c>
      <c r="X103" s="76">
        <f t="shared" si="31"/>
        <v>0</v>
      </c>
      <c r="Y103" s="76">
        <f t="shared" si="31"/>
        <v>113521.7</v>
      </c>
      <c r="Z103" s="76">
        <f t="shared" si="31"/>
        <v>113521.7</v>
      </c>
      <c r="AA103" s="76">
        <f t="shared" si="31"/>
        <v>106697.3</v>
      </c>
      <c r="AB103" s="76">
        <f t="shared" si="31"/>
        <v>145356.58000000002</v>
      </c>
      <c r="AC103" s="76">
        <f t="shared" si="31"/>
        <v>87737.780000000013</v>
      </c>
      <c r="AD103" s="76">
        <f t="shared" si="31"/>
        <v>167197.94</v>
      </c>
      <c r="AE103" s="76">
        <f>+AD103+AE8-AE16</f>
        <v>141605</v>
      </c>
      <c r="AF103" s="76">
        <f t="shared" si="31"/>
        <v>159158.10999999999</v>
      </c>
      <c r="AG103" s="76">
        <f t="shared" si="31"/>
        <v>148354.37</v>
      </c>
      <c r="AH103" s="76">
        <f t="shared" si="31"/>
        <v>41687.429999999993</v>
      </c>
      <c r="AI103" s="76">
        <f t="shared" si="31"/>
        <v>28735.569999999992</v>
      </c>
      <c r="AJ103" s="76">
        <f t="shared" si="31"/>
        <v>17974.089999999993</v>
      </c>
      <c r="AK103" s="76">
        <f t="shared" si="31"/>
        <v>0</v>
      </c>
      <c r="AL103" s="76">
        <f t="shared" si="31"/>
        <v>0</v>
      </c>
      <c r="AM103" s="105"/>
      <c r="AN103" s="105"/>
      <c r="AO103" s="105"/>
    </row>
    <row r="104" spans="1:41" s="76" customFormat="1" ht="14.1" x14ac:dyDescent="0.5">
      <c r="A104" s="82" t="s">
        <v>71</v>
      </c>
      <c r="AG104" s="76">
        <f t="shared" ref="AG104:AL104" si="32">+AF104+AG9-AG17</f>
        <v>0</v>
      </c>
      <c r="AH104" s="76">
        <f t="shared" si="32"/>
        <v>0</v>
      </c>
      <c r="AI104" s="76">
        <f t="shared" si="32"/>
        <v>0</v>
      </c>
      <c r="AJ104" s="76">
        <f t="shared" si="32"/>
        <v>116000</v>
      </c>
      <c r="AK104" s="76">
        <f t="shared" si="32"/>
        <v>279000</v>
      </c>
      <c r="AL104" s="76">
        <f t="shared" si="32"/>
        <v>398500</v>
      </c>
      <c r="AM104" s="105"/>
      <c r="AN104" s="105"/>
      <c r="AO104" s="105"/>
    </row>
    <row r="105" spans="1:41" s="59" customFormat="1" ht="14.1" x14ac:dyDescent="0.5">
      <c r="A105" s="88" t="s">
        <v>58</v>
      </c>
      <c r="J105" s="59">
        <f t="shared" ref="J105:AF105" si="33">+J101+J102+J103</f>
        <v>74155.570000000007</v>
      </c>
      <c r="K105" s="59">
        <f t="shared" si="33"/>
        <v>332816.5</v>
      </c>
      <c r="L105" s="59">
        <f t="shared" si="33"/>
        <v>311058.27999999997</v>
      </c>
      <c r="M105" s="59">
        <f t="shared" si="33"/>
        <v>220209.87</v>
      </c>
      <c r="N105" s="59">
        <f t="shared" si="33"/>
        <v>168656.81</v>
      </c>
      <c r="O105" s="59">
        <f t="shared" si="33"/>
        <v>180901.74</v>
      </c>
      <c r="P105" s="59">
        <f t="shared" si="33"/>
        <v>268587.99000000005</v>
      </c>
      <c r="Q105" s="59">
        <f t="shared" si="33"/>
        <v>266598.89</v>
      </c>
      <c r="R105" s="59">
        <f t="shared" si="33"/>
        <v>263636.50000000006</v>
      </c>
      <c r="S105" s="59">
        <f t="shared" si="33"/>
        <v>189303.44000000006</v>
      </c>
      <c r="T105" s="59">
        <f t="shared" si="33"/>
        <v>115812.69000000006</v>
      </c>
      <c r="U105" s="59">
        <f t="shared" si="33"/>
        <v>151877.35000000006</v>
      </c>
      <c r="V105" s="59">
        <f t="shared" si="33"/>
        <v>176627.77000000005</v>
      </c>
      <c r="W105" s="59">
        <f t="shared" si="33"/>
        <v>156755.38000000003</v>
      </c>
      <c r="X105" s="59">
        <f t="shared" si="33"/>
        <v>146047.23000000004</v>
      </c>
      <c r="Y105" s="59">
        <f t="shared" si="33"/>
        <v>245902.15000000002</v>
      </c>
      <c r="Z105" s="59">
        <f t="shared" si="33"/>
        <v>252965.13</v>
      </c>
      <c r="AA105" s="59">
        <f t="shared" si="33"/>
        <v>284719.47000000003</v>
      </c>
      <c r="AB105" s="59">
        <f t="shared" si="33"/>
        <v>454077.37</v>
      </c>
      <c r="AC105" s="59">
        <f t="shared" si="33"/>
        <v>594383.44999999995</v>
      </c>
      <c r="AD105" s="59">
        <f t="shared" si="33"/>
        <v>691849.46</v>
      </c>
      <c r="AE105" s="59">
        <f t="shared" si="33"/>
        <v>728942.82</v>
      </c>
      <c r="AF105" s="59">
        <f t="shared" si="33"/>
        <v>684470.65999999992</v>
      </c>
      <c r="AG105" s="59">
        <f>+AG101+AG102+AG103+AG104</f>
        <v>708722.21999999986</v>
      </c>
      <c r="AH105" s="59">
        <f>+AH101+AH102+AH103+AH104</f>
        <v>779136.34333333303</v>
      </c>
      <c r="AI105" s="59">
        <f>+AI101+AI102+AI103+AI104</f>
        <v>763978.41333333321</v>
      </c>
      <c r="AJ105" s="59">
        <f>+AJ101+AJ102+AJ103+AJ104</f>
        <v>750463.05333333311</v>
      </c>
      <c r="AK105" s="59">
        <f t="shared" ref="AK105:AL105" si="34">+AK101+AK102+AK103+AK104</f>
        <v>709243.89999999991</v>
      </c>
      <c r="AL105" s="59">
        <f t="shared" si="34"/>
        <v>524390.29999999981</v>
      </c>
      <c r="AM105" s="105"/>
      <c r="AN105" s="105"/>
      <c r="AO105" s="105"/>
    </row>
    <row r="106" spans="1:41" s="114" customFormat="1" ht="37.5" customHeight="1" x14ac:dyDescent="0.4">
      <c r="A106" s="112" t="s">
        <v>98</v>
      </c>
      <c r="B106" s="113" t="str">
        <f t="shared" ref="B106:J106" si="35">+IF(SUM(B99:B102)&gt;0,"OK abbiamo Eur "&amp;TEXT(SUM(B99:B102),"0.000,00"),"Problemi qui! Eur "&amp;TEXT(SUM(B99:B102),"0.000,00"))</f>
        <v>OK abbiamo Eur 210.749,54</v>
      </c>
      <c r="C106" s="113" t="str">
        <f t="shared" si="35"/>
        <v>OK abbiamo Eur 150.703,51</v>
      </c>
      <c r="D106" s="113" t="str">
        <f t="shared" si="35"/>
        <v>OK abbiamo Eur 158.457,17</v>
      </c>
      <c r="E106" s="113" t="str">
        <f t="shared" si="35"/>
        <v>OK abbiamo Eur 126.181,39</v>
      </c>
      <c r="F106" s="113" t="str">
        <f t="shared" si="35"/>
        <v>OK abbiamo Eur 155.169,00</v>
      </c>
      <c r="G106" s="113" t="str">
        <f t="shared" si="35"/>
        <v>OK abbiamo Eur 92.047,98</v>
      </c>
      <c r="H106" s="113" t="str">
        <f t="shared" si="35"/>
        <v>OK abbiamo Eur 56.682,32</v>
      </c>
      <c r="I106" s="113" t="str">
        <f t="shared" si="35"/>
        <v>OK abbiamo Eur 88.764,91</v>
      </c>
      <c r="J106" s="113" t="str">
        <f t="shared" si="35"/>
        <v>Problemi qui! Eur -165.687,78</v>
      </c>
      <c r="K106" s="113" t="str">
        <f t="shared" ref="K106:AD106" si="36">+IF(SUM(K99:K103)&gt;0,"OK abbiamo Eur "&amp;TEXT(SUM(K99:K103),"0.000,00"),"Problemi qui! Eur "&amp;TEXT(SUM(K99:K103),"0.000,00"))</f>
        <v>OK abbiamo Eur 29.364,23</v>
      </c>
      <c r="L106" s="113" t="str">
        <f t="shared" si="36"/>
        <v>OK abbiamo Eur 40.882,65</v>
      </c>
      <c r="M106" s="113" t="str">
        <f t="shared" si="36"/>
        <v>Problemi qui! Eur -15.736,33</v>
      </c>
      <c r="N106" s="113" t="str">
        <f t="shared" si="36"/>
        <v>Problemi qui! Eur -63.035,47</v>
      </c>
      <c r="O106" s="113" t="str">
        <f t="shared" si="36"/>
        <v>Problemi qui! Eur -57.519,46</v>
      </c>
      <c r="P106" s="113" t="str">
        <f t="shared" si="36"/>
        <v>OK abbiamo Eur 45.487,12</v>
      </c>
      <c r="Q106" s="113" t="str">
        <f t="shared" si="36"/>
        <v>Problemi qui! Eur -12.873,96</v>
      </c>
      <c r="R106" s="113" t="str">
        <f t="shared" si="36"/>
        <v>Problemi qui! Eur -41.555,55</v>
      </c>
      <c r="S106" s="113" t="str">
        <f t="shared" si="36"/>
        <v>Problemi qui! Eur -111.280,13</v>
      </c>
      <c r="T106" s="113" t="str">
        <f t="shared" si="36"/>
        <v>Problemi qui! Eur -119.216,26</v>
      </c>
      <c r="U106" s="113" t="str">
        <f t="shared" si="36"/>
        <v>OK abbiamo Eur 49.462,00</v>
      </c>
      <c r="V106" s="113" t="str">
        <f t="shared" si="36"/>
        <v>Problemi qui! Eur -53.296,61</v>
      </c>
      <c r="W106" s="113" t="str">
        <f t="shared" si="36"/>
        <v>Problemi qui! Eur -82.400,39</v>
      </c>
      <c r="X106" s="113" t="str">
        <f t="shared" si="36"/>
        <v>Problemi qui! Eur -79.550,45</v>
      </c>
      <c r="Y106" s="113" t="str">
        <f t="shared" si="36"/>
        <v>Problemi qui! Eur -15.152,40</v>
      </c>
      <c r="Z106" s="113" t="str">
        <f t="shared" si="36"/>
        <v>Problemi qui! Eur -91.629,54</v>
      </c>
      <c r="AA106" s="113" t="str">
        <f t="shared" si="36"/>
        <v>Problemi qui! Eur -106.244,95</v>
      </c>
      <c r="AB106" s="113" t="str">
        <f t="shared" si="36"/>
        <v>Problemi qui! Eur -121.744,69</v>
      </c>
      <c r="AC106" s="113" t="str">
        <f t="shared" si="36"/>
        <v>OK abbiamo Eur 37.021,82</v>
      </c>
      <c r="AD106" s="113" t="str">
        <f t="shared" si="36"/>
        <v>OK abbiamo Eur 38.292,31</v>
      </c>
      <c r="AE106" s="113" t="str">
        <f>+IF(SUM(AE99:AE103)&gt;0,"Disponibilità Eur "&amp;TEXT(SUM(AE99:AE103),"0.000,00"),"Problemi qui! Eur "&amp;TEXT(SUM(AE99:AE103),"0.000,00"))</f>
        <v>Disponibilità Eur 14.942,89</v>
      </c>
      <c r="AF106" s="113" t="str">
        <f>+IF(SUM(AF99:AF103)&gt;0,"Disponibilità Eur "&amp;TEXT(SUM(AF99:AF103),"0.000,00"),"Problemi qui! Eur "&amp;TEXT(SUM(AF99:AF103),"0.000,00"))</f>
        <v>Disponibilità Eur 29.183,85</v>
      </c>
      <c r="AG106" s="113" t="str">
        <f>+IF(SUM(AG99:AG103)&gt;0,"Disponibilità Eur "&amp;TEXT(SUM(AG99:AG103),"0.000,00"),"Utilizzo fidi cassa x Euro "&amp;TEXT(SUM(AG99:AG103),"0.000,00"))</f>
        <v>Utilizzo fidi cassa x Euro -71.474,47</v>
      </c>
      <c r="AH106" s="113" t="str">
        <f>+IF(SUM(AH99:AH103)&gt;0,"Disponibilità Eur "&amp;TEXT(SUM(AH99:AH103),"0.000,00"),"Utilizzo fidi cassa x Euro "&amp;TEXT(SUM(AH99:AH103),"0.000,00"))</f>
        <v>Utilizzo fidi cassa x Euro -132.726,59</v>
      </c>
      <c r="AI106" s="113" t="str">
        <f>+IF(SUM(AI99:AI103)&gt;0,"Disponibilità Eur "&amp;TEXT(SUM(AI99:AI103),"0.000,00"),"Utilizzo fidi cassa x Euro "&amp;TEXT(SUM(AI99:AI103),"0.000,00"))</f>
        <v>Utilizzo fidi cassa x Euro -159.464,94</v>
      </c>
      <c r="AJ106" s="113" t="str">
        <f>+IF(SUM(AJ99:AJ104)&gt;0,"Disponibilità Eur "&amp;TEXT(SUM(AJ99:AJ104),"0.000,00"),"Utilizzo fidi cassa x Euro "&amp;TEXT(SUM(AJ99:AJ104),"0.000,00"))</f>
        <v>Utilizzo fidi cassa x Euro -251.155,89</v>
      </c>
      <c r="AK106" s="113" t="str">
        <f t="shared" ref="AK106" si="37">+IF(SUM(AK99:AK104)&gt;0,"Disponibilità Eur "&amp;TEXT(SUM(AK99:AK104),"0.000,00"),"Utilizzo fidi cassa x Euro "&amp;TEXT(SUM(AK99:AK104),"0.000,00"))</f>
        <v>Utilizzo fidi cassa x Euro -284.905,84</v>
      </c>
      <c r="AL106" s="113" t="str">
        <f>+IF(SUM(AL99:AL104)&gt;0,"Disponibilità Eur "&amp;TEXT(SUM(AL99:AL104),"0.000,00"),"Utilizzo fidi cassa x Euro "&amp;TEXT(SUM(AL99:AL104),"0.000,00"))</f>
        <v>Utilizzo fidi cassa x Euro -328.152,79</v>
      </c>
    </row>
    <row r="107" spans="1:41" s="109" customFormat="1" ht="11.4" x14ac:dyDescent="0.4">
      <c r="A107" s="106" t="s">
        <v>56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8">
        <f t="shared" ref="K107:R107" si="38">-K109-K111+K99+K101+K102</f>
        <v>110364.23000000005</v>
      </c>
      <c r="L107" s="108">
        <f t="shared" si="38"/>
        <v>121882.64999999998</v>
      </c>
      <c r="M107" s="108">
        <f t="shared" si="38"/>
        <v>65263.669999999984</v>
      </c>
      <c r="N107" s="108">
        <f t="shared" si="38"/>
        <v>17964.52999999997</v>
      </c>
      <c r="O107" s="108">
        <f t="shared" si="38"/>
        <v>23480.539999999994</v>
      </c>
      <c r="P107" s="108">
        <f t="shared" si="38"/>
        <v>126487.12000000001</v>
      </c>
      <c r="Q107" s="108">
        <f t="shared" si="38"/>
        <v>68126.040000000066</v>
      </c>
      <c r="R107" s="108">
        <f t="shared" si="38"/>
        <v>39444.45000000007</v>
      </c>
      <c r="S107" s="108">
        <f t="shared" ref="S107:AF107" si="39">-S109-S111-S113+S99+S101+S102+S103</f>
        <v>9719.8700000000536</v>
      </c>
      <c r="T107" s="108">
        <f t="shared" si="39"/>
        <v>1783.7400000000489</v>
      </c>
      <c r="U107" s="108">
        <f t="shared" si="39"/>
        <v>170462.00000000003</v>
      </c>
      <c r="V107" s="108">
        <f t="shared" si="39"/>
        <v>67703.390000000014</v>
      </c>
      <c r="W107" s="108">
        <f t="shared" si="39"/>
        <v>38599.609999999986</v>
      </c>
      <c r="X107" s="108">
        <f t="shared" si="39"/>
        <v>41449.549999999988</v>
      </c>
      <c r="Y107" s="108">
        <f t="shared" si="39"/>
        <v>105847.59999999995</v>
      </c>
      <c r="Z107" s="108">
        <f t="shared" si="39"/>
        <v>29370.459999999977</v>
      </c>
      <c r="AA107" s="108">
        <f t="shared" si="39"/>
        <v>14755.049999999974</v>
      </c>
      <c r="AB107" s="108">
        <f t="shared" si="39"/>
        <v>-744.69000000006054</v>
      </c>
      <c r="AC107" s="108">
        <f t="shared" si="39"/>
        <v>158021.81999999989</v>
      </c>
      <c r="AD107" s="108">
        <f t="shared" si="39"/>
        <v>159292.30999999988</v>
      </c>
      <c r="AE107" s="108">
        <f>-AE109-AE111-AE113+AE99+AE101+AE102+AE103</f>
        <v>154942.88999999978</v>
      </c>
      <c r="AF107" s="108">
        <f t="shared" si="39"/>
        <v>169183.84999999974</v>
      </c>
      <c r="AG107" s="108">
        <f>-AG109-AG111-AG113-AG115+AG99+AG101+AG102+AG103+AG104</f>
        <v>108525.52999999974</v>
      </c>
      <c r="AH107" s="108">
        <f>-AH109-AH111-AH113-AH115+AH99+AH101+AH102+AH103+AH104</f>
        <v>47273.413333332923</v>
      </c>
      <c r="AI107" s="108">
        <f>-AI109-AI111-AI113-AI115+AI99+AI101+AI102+AI103+AI104</f>
        <v>20535.063333332932</v>
      </c>
      <c r="AJ107" s="108">
        <f>-AJ109-AJ111-AJ113-AJ115+AJ99+AJ101+AJ102+AJ103+AJ104</f>
        <v>-71155.886666667036</v>
      </c>
      <c r="AK107" s="108">
        <f t="shared" ref="AK107:AL107" si="40">-AK109-AK111-AK113-AK115+AK99+AK101+AK102+AK103+AK104</f>
        <v>-104905.83666666702</v>
      </c>
      <c r="AL107" s="108">
        <f t="shared" si="40"/>
        <v>-148152.78666666709</v>
      </c>
    </row>
    <row r="108" spans="1:41" s="59" customFormat="1" x14ac:dyDescent="0.4">
      <c r="A108" s="76" t="s">
        <v>10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</row>
    <row r="109" spans="1:41" s="105" customFormat="1" ht="14.1" x14ac:dyDescent="0.5">
      <c r="A109" s="82" t="str">
        <f>+A94</f>
        <v>UBI C/c</v>
      </c>
      <c r="B109" s="76">
        <v>-41000</v>
      </c>
      <c r="C109" s="76">
        <v>-41000</v>
      </c>
      <c r="D109" s="76">
        <v>-41000</v>
      </c>
      <c r="E109" s="76">
        <v>-41000</v>
      </c>
      <c r="F109" s="76">
        <v>-41000</v>
      </c>
      <c r="G109" s="76">
        <v>-41000</v>
      </c>
      <c r="H109" s="76">
        <v>-41000</v>
      </c>
      <c r="I109" s="76">
        <v>-41000</v>
      </c>
      <c r="J109" s="76">
        <v>-41000</v>
      </c>
      <c r="K109" s="76">
        <v>-41000</v>
      </c>
      <c r="L109" s="76">
        <v>-41000</v>
      </c>
      <c r="M109" s="76">
        <v>-41000</v>
      </c>
      <c r="N109" s="76">
        <v>-41000</v>
      </c>
      <c r="O109" s="76">
        <v>-41000</v>
      </c>
      <c r="P109" s="76">
        <v>-41000</v>
      </c>
      <c r="Q109" s="76">
        <v>-41000</v>
      </c>
      <c r="R109" s="76">
        <v>-41000</v>
      </c>
      <c r="S109" s="76">
        <v>-41000</v>
      </c>
      <c r="T109" s="76">
        <v>-41000</v>
      </c>
      <c r="U109" s="76">
        <v>-41000</v>
      </c>
      <c r="V109" s="76">
        <v>-41000</v>
      </c>
      <c r="W109" s="76">
        <v>-41000</v>
      </c>
      <c r="X109" s="76">
        <v>-41000</v>
      </c>
      <c r="Y109" s="76">
        <v>-41000</v>
      </c>
      <c r="Z109" s="76">
        <v>-41000</v>
      </c>
      <c r="AA109" s="76">
        <v>-41000</v>
      </c>
      <c r="AB109" s="76">
        <v>-41000</v>
      </c>
      <c r="AC109" s="76">
        <v>-41000</v>
      </c>
      <c r="AD109" s="76">
        <v>-41000</v>
      </c>
      <c r="AE109" s="76">
        <v>-50000</v>
      </c>
      <c r="AF109" s="76">
        <v>-50000</v>
      </c>
      <c r="AG109" s="76">
        <v>-50000</v>
      </c>
      <c r="AH109" s="76">
        <v>-50000</v>
      </c>
      <c r="AI109" s="76">
        <v>-50000</v>
      </c>
      <c r="AJ109" s="76">
        <v>-50000</v>
      </c>
      <c r="AK109" s="76">
        <v>-50000</v>
      </c>
      <c r="AL109" s="76">
        <v>-50000</v>
      </c>
      <c r="AM109" s="76"/>
      <c r="AN109" s="76"/>
      <c r="AO109" s="76"/>
    </row>
    <row r="110" spans="1:41" s="76" customFormat="1" x14ac:dyDescent="0.4">
      <c r="A110" s="82" t="str">
        <f>+A101</f>
        <v>UBI SBF</v>
      </c>
      <c r="B110" s="76">
        <v>-155000</v>
      </c>
      <c r="C110" s="76">
        <v>-155000</v>
      </c>
      <c r="D110" s="76">
        <v>-155000</v>
      </c>
      <c r="E110" s="76">
        <v>-155000</v>
      </c>
      <c r="F110" s="76">
        <v>-155000</v>
      </c>
      <c r="G110" s="76">
        <v>-155000</v>
      </c>
      <c r="H110" s="76">
        <v>-155000</v>
      </c>
      <c r="I110" s="76">
        <v>-155000</v>
      </c>
      <c r="J110" s="76">
        <v>-155000</v>
      </c>
      <c r="K110" s="76">
        <v>-155000</v>
      </c>
      <c r="L110" s="76">
        <v>-155000</v>
      </c>
      <c r="M110" s="76">
        <v>-155000</v>
      </c>
      <c r="N110" s="76">
        <v>-155000</v>
      </c>
      <c r="O110" s="76">
        <v>-250000</v>
      </c>
      <c r="P110" s="76">
        <v>-250000</v>
      </c>
      <c r="Q110" s="76">
        <v>-250000</v>
      </c>
      <c r="R110" s="76">
        <v>-250000</v>
      </c>
      <c r="S110" s="76">
        <v>-250000</v>
      </c>
      <c r="T110" s="76">
        <v>-250000</v>
      </c>
      <c r="U110" s="76">
        <v>-250000</v>
      </c>
      <c r="V110" s="76">
        <v>-250000</v>
      </c>
      <c r="W110" s="76">
        <v>-250000</v>
      </c>
      <c r="X110" s="76">
        <v>-250000</v>
      </c>
      <c r="Y110" s="76">
        <v>-250000</v>
      </c>
      <c r="Z110" s="76">
        <v>-250000</v>
      </c>
      <c r="AA110" s="76">
        <v>-250000</v>
      </c>
      <c r="AB110" s="76">
        <v>-250000</v>
      </c>
      <c r="AC110" s="76">
        <v>-250000</v>
      </c>
      <c r="AD110" s="76">
        <v>-250000</v>
      </c>
      <c r="AE110" s="76">
        <v>-250000</v>
      </c>
      <c r="AF110" s="76">
        <v>-250000</v>
      </c>
      <c r="AG110" s="76">
        <v>-250000</v>
      </c>
      <c r="AH110" s="76">
        <v>-250000</v>
      </c>
      <c r="AI110" s="76">
        <v>-250000</v>
      </c>
      <c r="AJ110" s="76">
        <v>-250000</v>
      </c>
      <c r="AK110" s="76">
        <v>-250000</v>
      </c>
      <c r="AL110" s="76">
        <v>-250000</v>
      </c>
    </row>
    <row r="111" spans="1:41" s="76" customFormat="1" x14ac:dyDescent="0.4">
      <c r="A111" s="82" t="str">
        <f>+A95</f>
        <v>Intesa C/c</v>
      </c>
      <c r="B111" s="76">
        <v>-40000</v>
      </c>
      <c r="C111" s="76">
        <v>-40000</v>
      </c>
      <c r="D111" s="76">
        <v>-40000</v>
      </c>
      <c r="E111" s="76">
        <v>-40000</v>
      </c>
      <c r="F111" s="76">
        <v>-40000</v>
      </c>
      <c r="G111" s="76">
        <v>-40000</v>
      </c>
      <c r="H111" s="76">
        <v>-40000</v>
      </c>
      <c r="I111" s="76">
        <v>-40000</v>
      </c>
      <c r="J111" s="76">
        <v>-40000</v>
      </c>
      <c r="K111" s="76">
        <v>-40000</v>
      </c>
      <c r="L111" s="76">
        <v>-40000</v>
      </c>
      <c r="M111" s="76">
        <v>-40000</v>
      </c>
      <c r="N111" s="76">
        <v>-40000</v>
      </c>
      <c r="O111" s="76">
        <v>-40000</v>
      </c>
      <c r="P111" s="76">
        <v>-40000</v>
      </c>
      <c r="Q111" s="76">
        <v>-40000</v>
      </c>
      <c r="R111" s="76">
        <v>-40000</v>
      </c>
      <c r="S111" s="76">
        <v>-40000</v>
      </c>
      <c r="T111" s="76">
        <v>-40000</v>
      </c>
      <c r="U111" s="76">
        <v>-40000</v>
      </c>
      <c r="V111" s="76">
        <v>-40000</v>
      </c>
      <c r="W111" s="76">
        <v>-40000</v>
      </c>
      <c r="X111" s="76">
        <v>-40000</v>
      </c>
      <c r="Y111" s="76">
        <v>-40000</v>
      </c>
      <c r="Z111" s="76">
        <v>-40000</v>
      </c>
      <c r="AA111" s="76">
        <v>-40000</v>
      </c>
      <c r="AB111" s="76">
        <v>-40000</v>
      </c>
      <c r="AC111" s="76">
        <v>-40000</v>
      </c>
      <c r="AD111" s="76">
        <v>-40000</v>
      </c>
      <c r="AE111" s="76">
        <v>-50000</v>
      </c>
      <c r="AF111" s="76">
        <v>-50000</v>
      </c>
      <c r="AG111" s="76">
        <v>-50000</v>
      </c>
      <c r="AH111" s="76">
        <v>-50000</v>
      </c>
      <c r="AI111" s="76">
        <v>-50000</v>
      </c>
      <c r="AJ111" s="76">
        <v>-50000</v>
      </c>
      <c r="AK111" s="76">
        <v>-50000</v>
      </c>
      <c r="AL111" s="76">
        <v>-50000</v>
      </c>
    </row>
    <row r="112" spans="1:41" s="76" customFormat="1" x14ac:dyDescent="0.4">
      <c r="A112" s="82" t="str">
        <f>+A102</f>
        <v>Intesa SBF</v>
      </c>
      <c r="B112" s="76">
        <v>-150000</v>
      </c>
      <c r="C112" s="76">
        <v>-150000</v>
      </c>
      <c r="D112" s="76">
        <v>-150000</v>
      </c>
      <c r="E112" s="76">
        <v>-150000</v>
      </c>
      <c r="F112" s="76">
        <v>-175000</v>
      </c>
      <c r="G112" s="76">
        <v>-175000</v>
      </c>
      <c r="H112" s="76">
        <v>-175000</v>
      </c>
      <c r="I112" s="76">
        <v>-175000</v>
      </c>
      <c r="J112" s="76">
        <v>-175000</v>
      </c>
      <c r="K112" s="76">
        <v>-175000</v>
      </c>
      <c r="L112" s="76">
        <v>-175000</v>
      </c>
      <c r="M112" s="76">
        <v>-175000</v>
      </c>
      <c r="N112" s="76">
        <v>-175000</v>
      </c>
      <c r="O112" s="76">
        <v>-175000</v>
      </c>
      <c r="P112" s="76">
        <v>-175000</v>
      </c>
      <c r="Q112" s="76">
        <v>-175000</v>
      </c>
      <c r="R112" s="76">
        <v>-175000</v>
      </c>
      <c r="S112" s="76">
        <v>-175000</v>
      </c>
      <c r="T112" s="76">
        <v>-175000</v>
      </c>
      <c r="U112" s="76">
        <v>-175000</v>
      </c>
      <c r="V112" s="76">
        <v>-175000</v>
      </c>
      <c r="W112" s="76">
        <v>-175000</v>
      </c>
      <c r="X112" s="76">
        <v>-175000</v>
      </c>
      <c r="Y112" s="76">
        <v>-175000</v>
      </c>
      <c r="Z112" s="76">
        <v>-175000</v>
      </c>
      <c r="AA112" s="76">
        <v>-175000</v>
      </c>
      <c r="AB112" s="76">
        <v>-175000</v>
      </c>
      <c r="AC112" s="76">
        <v>-175000</v>
      </c>
      <c r="AD112" s="76">
        <v>-175000</v>
      </c>
      <c r="AE112" s="76">
        <v>-275000</v>
      </c>
      <c r="AF112" s="76">
        <v>-275000</v>
      </c>
      <c r="AG112" s="76">
        <v>-275000</v>
      </c>
      <c r="AH112" s="76">
        <v>-275000</v>
      </c>
      <c r="AI112" s="76">
        <v>-275000</v>
      </c>
      <c r="AJ112" s="76">
        <v>-275000</v>
      </c>
      <c r="AK112" s="76">
        <v>-275000</v>
      </c>
      <c r="AL112" s="76">
        <v>-275000</v>
      </c>
    </row>
    <row r="113" spans="1:41" s="76" customFormat="1" x14ac:dyDescent="0.4">
      <c r="A113" s="82" t="s">
        <v>63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-40000</v>
      </c>
      <c r="T113" s="76">
        <v>-40000</v>
      </c>
      <c r="U113" s="76">
        <v>-40000</v>
      </c>
      <c r="V113" s="76">
        <v>-40000</v>
      </c>
      <c r="W113" s="76">
        <v>-40000</v>
      </c>
      <c r="X113" s="76">
        <v>-40000</v>
      </c>
      <c r="Y113" s="76">
        <v>-40000</v>
      </c>
      <c r="Z113" s="76">
        <v>-40000</v>
      </c>
      <c r="AA113" s="76">
        <v>-40000</v>
      </c>
      <c r="AB113" s="76">
        <v>-40000</v>
      </c>
      <c r="AC113" s="76">
        <v>-40000</v>
      </c>
      <c r="AD113" s="76">
        <v>-40000</v>
      </c>
      <c r="AE113" s="76">
        <v>-40000</v>
      </c>
      <c r="AF113" s="76">
        <v>-40000</v>
      </c>
      <c r="AG113" s="76">
        <v>-40000</v>
      </c>
      <c r="AH113" s="76">
        <v>-40000</v>
      </c>
      <c r="AI113" s="76">
        <v>-40000</v>
      </c>
      <c r="AJ113" s="76">
        <v>-40000</v>
      </c>
      <c r="AK113" s="76">
        <v>-40000</v>
      </c>
      <c r="AL113" s="76">
        <v>-40000</v>
      </c>
    </row>
    <row r="114" spans="1:41" s="76" customFormat="1" x14ac:dyDescent="0.4">
      <c r="A114" s="82" t="s">
        <v>64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-150000</v>
      </c>
      <c r="T114" s="76">
        <v>-150000</v>
      </c>
      <c r="U114" s="76">
        <v>-150000</v>
      </c>
      <c r="V114" s="76">
        <v>-150000</v>
      </c>
      <c r="W114" s="76">
        <v>-150000</v>
      </c>
      <c r="X114" s="76">
        <v>-150000</v>
      </c>
      <c r="Y114" s="76">
        <v>-150000</v>
      </c>
      <c r="Z114" s="76">
        <v>-150000</v>
      </c>
      <c r="AA114" s="76">
        <v>-150000</v>
      </c>
      <c r="AB114" s="76">
        <v>-150000</v>
      </c>
      <c r="AC114" s="76">
        <v>-150000</v>
      </c>
      <c r="AD114" s="76">
        <v>-150000</v>
      </c>
      <c r="AE114" s="76">
        <v>-150000</v>
      </c>
      <c r="AF114" s="76">
        <v>-150000</v>
      </c>
      <c r="AG114" s="76">
        <v>-150000</v>
      </c>
      <c r="AH114" s="76">
        <v>-150000</v>
      </c>
      <c r="AI114" s="76">
        <v>-150000</v>
      </c>
      <c r="AJ114" s="76">
        <v>-150000</v>
      </c>
      <c r="AK114" s="76">
        <v>-150000</v>
      </c>
      <c r="AL114" s="76">
        <v>-150000</v>
      </c>
    </row>
    <row r="115" spans="1:41" s="76" customFormat="1" x14ac:dyDescent="0.4">
      <c r="A115" s="82" t="s">
        <v>70</v>
      </c>
      <c r="AG115" s="76">
        <v>-40000</v>
      </c>
      <c r="AH115" s="76">
        <v>-40000</v>
      </c>
      <c r="AI115" s="76">
        <v>-40000</v>
      </c>
      <c r="AJ115" s="76">
        <v>-40000</v>
      </c>
      <c r="AK115" s="76">
        <v>-40000</v>
      </c>
      <c r="AL115" s="76">
        <v>-40000</v>
      </c>
    </row>
    <row r="116" spans="1:41" s="76" customFormat="1" x14ac:dyDescent="0.4">
      <c r="A116" s="82" t="s">
        <v>71</v>
      </c>
      <c r="AG116" s="76">
        <v>-400000</v>
      </c>
      <c r="AH116" s="76">
        <v>-400000</v>
      </c>
      <c r="AI116" s="76">
        <v>-400000</v>
      </c>
      <c r="AJ116" s="76">
        <v>-400000</v>
      </c>
      <c r="AK116" s="76">
        <v>-400000</v>
      </c>
      <c r="AL116" s="76">
        <v>-400000</v>
      </c>
    </row>
    <row r="117" spans="1:41" s="76" customFormat="1" x14ac:dyDescent="0.4">
      <c r="A117" s="59" t="s">
        <v>11</v>
      </c>
      <c r="B117" s="59">
        <f t="shared" ref="B117:Q117" si="41">SUM(B109:B112)</f>
        <v>-386000</v>
      </c>
      <c r="C117" s="59">
        <f t="shared" si="41"/>
        <v>-386000</v>
      </c>
      <c r="D117" s="59">
        <f t="shared" si="41"/>
        <v>-386000</v>
      </c>
      <c r="E117" s="59">
        <f t="shared" si="41"/>
        <v>-386000</v>
      </c>
      <c r="F117" s="59">
        <f t="shared" si="41"/>
        <v>-411000</v>
      </c>
      <c r="G117" s="59">
        <f t="shared" si="41"/>
        <v>-411000</v>
      </c>
      <c r="H117" s="59">
        <f t="shared" si="41"/>
        <v>-411000</v>
      </c>
      <c r="I117" s="59">
        <f t="shared" si="41"/>
        <v>-411000</v>
      </c>
      <c r="J117" s="59">
        <f t="shared" si="41"/>
        <v>-411000</v>
      </c>
      <c r="K117" s="59">
        <f t="shared" si="41"/>
        <v>-411000</v>
      </c>
      <c r="L117" s="59">
        <f t="shared" si="41"/>
        <v>-411000</v>
      </c>
      <c r="M117" s="59">
        <f t="shared" si="41"/>
        <v>-411000</v>
      </c>
      <c r="N117" s="59">
        <f t="shared" si="41"/>
        <v>-411000</v>
      </c>
      <c r="O117" s="59">
        <f t="shared" si="41"/>
        <v>-506000</v>
      </c>
      <c r="P117" s="59">
        <f t="shared" si="41"/>
        <v>-506000</v>
      </c>
      <c r="Q117" s="59">
        <f t="shared" si="41"/>
        <v>-506000</v>
      </c>
      <c r="R117" s="59">
        <f t="shared" ref="R117:AF117" si="42">SUM(R109:R114)</f>
        <v>-506000</v>
      </c>
      <c r="S117" s="59">
        <f t="shared" si="42"/>
        <v>-696000</v>
      </c>
      <c r="T117" s="59">
        <f t="shared" si="42"/>
        <v>-696000</v>
      </c>
      <c r="U117" s="59">
        <f t="shared" si="42"/>
        <v>-696000</v>
      </c>
      <c r="V117" s="59">
        <f t="shared" si="42"/>
        <v>-696000</v>
      </c>
      <c r="W117" s="59">
        <f t="shared" si="42"/>
        <v>-696000</v>
      </c>
      <c r="X117" s="59">
        <f t="shared" si="42"/>
        <v>-696000</v>
      </c>
      <c r="Y117" s="59">
        <f t="shared" si="42"/>
        <v>-696000</v>
      </c>
      <c r="Z117" s="59">
        <f t="shared" si="42"/>
        <v>-696000</v>
      </c>
      <c r="AA117" s="59">
        <f t="shared" si="42"/>
        <v>-696000</v>
      </c>
      <c r="AB117" s="59">
        <f t="shared" si="42"/>
        <v>-696000</v>
      </c>
      <c r="AC117" s="59">
        <f t="shared" si="42"/>
        <v>-696000</v>
      </c>
      <c r="AD117" s="59">
        <f t="shared" si="42"/>
        <v>-696000</v>
      </c>
      <c r="AE117" s="59">
        <f t="shared" si="42"/>
        <v>-815000</v>
      </c>
      <c r="AF117" s="59">
        <f t="shared" si="42"/>
        <v>-815000</v>
      </c>
      <c r="AG117" s="59">
        <f>SUM(AG109:AG116)</f>
        <v>-1255000</v>
      </c>
      <c r="AH117" s="59">
        <f>SUM(AH109:AH116)</f>
        <v>-1255000</v>
      </c>
      <c r="AI117" s="59">
        <f>SUM(AI109:AI116)</f>
        <v>-1255000</v>
      </c>
      <c r="AJ117" s="59">
        <f t="shared" ref="AJ117:AL117" si="43">SUM(AJ109:AJ116)</f>
        <v>-1255000</v>
      </c>
      <c r="AK117" s="59">
        <f t="shared" si="43"/>
        <v>-1255000</v>
      </c>
      <c r="AL117" s="59">
        <f t="shared" si="43"/>
        <v>-1255000</v>
      </c>
      <c r="AM117" s="59"/>
      <c r="AN117" s="59"/>
      <c r="AO117" s="59"/>
    </row>
    <row r="118" spans="1:41" s="76" customFormat="1" x14ac:dyDescent="0.4">
      <c r="A118" s="59" t="s">
        <v>119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</row>
    <row r="119" spans="1:41" s="76" customFormat="1" x14ac:dyDescent="0.4">
      <c r="A119" s="59" t="s">
        <v>120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>
        <f>+AE109+AE111+AE113+AE115</f>
        <v>-140000</v>
      </c>
      <c r="AF119" s="59">
        <f t="shared" ref="AF119:AL119" si="44">+AF109+AF111+AF113+AF115</f>
        <v>-140000</v>
      </c>
      <c r="AG119" s="59">
        <f t="shared" si="44"/>
        <v>-180000</v>
      </c>
      <c r="AH119" s="59">
        <f t="shared" si="44"/>
        <v>-180000</v>
      </c>
      <c r="AI119" s="59">
        <f t="shared" si="44"/>
        <v>-180000</v>
      </c>
      <c r="AJ119" s="59">
        <f t="shared" si="44"/>
        <v>-180000</v>
      </c>
      <c r="AK119" s="59">
        <f t="shared" si="44"/>
        <v>-180000</v>
      </c>
      <c r="AL119" s="59">
        <f t="shared" si="44"/>
        <v>-180000</v>
      </c>
      <c r="AM119" s="59"/>
      <c r="AN119" s="59"/>
      <c r="AO119" s="59"/>
    </row>
    <row r="120" spans="1:41" s="76" customFormat="1" x14ac:dyDescent="0.4">
      <c r="A120" s="59" t="s">
        <v>121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>
        <f>+AE110+AE112+AE114+AE116</f>
        <v>-675000</v>
      </c>
      <c r="AF120" s="59">
        <f t="shared" ref="AF120:AL120" si="45">+AF110+AF112+AF114+AF116</f>
        <v>-675000</v>
      </c>
      <c r="AG120" s="59">
        <f t="shared" si="45"/>
        <v>-1075000</v>
      </c>
      <c r="AH120" s="59">
        <f t="shared" si="45"/>
        <v>-1075000</v>
      </c>
      <c r="AI120" s="59">
        <f t="shared" si="45"/>
        <v>-1075000</v>
      </c>
      <c r="AJ120" s="59">
        <f t="shared" si="45"/>
        <v>-1075000</v>
      </c>
      <c r="AK120" s="59">
        <f t="shared" si="45"/>
        <v>-1075000</v>
      </c>
      <c r="AL120" s="59">
        <f t="shared" si="45"/>
        <v>-1075000</v>
      </c>
      <c r="AM120" s="59"/>
      <c r="AN120" s="59"/>
      <c r="AO120" s="59"/>
    </row>
    <row r="121" spans="1:41" s="76" customFormat="1" x14ac:dyDescent="0.4"/>
    <row r="122" spans="1:41" s="111" customFormat="1" x14ac:dyDescent="0.4">
      <c r="A122" s="86" t="s">
        <v>57</v>
      </c>
      <c r="B122" s="110">
        <f t="shared" ref="B122:J122" si="46">IF(+B99/B117&gt;0,B99/B117,0)</f>
        <v>0.15890240932642485</v>
      </c>
      <c r="C122" s="110">
        <f t="shared" si="46"/>
        <v>0.39560404145077716</v>
      </c>
      <c r="D122" s="110">
        <f t="shared" si="46"/>
        <v>0.42778914507772015</v>
      </c>
      <c r="E122" s="110">
        <f t="shared" si="46"/>
        <v>0.25041259067357508</v>
      </c>
      <c r="F122" s="110">
        <f t="shared" si="46"/>
        <v>0.23336790754257902</v>
      </c>
      <c r="G122" s="110">
        <f t="shared" si="46"/>
        <v>0.1484413381995133</v>
      </c>
      <c r="H122" s="110">
        <f t="shared" si="46"/>
        <v>0.31102454987834544</v>
      </c>
      <c r="I122" s="110">
        <f t="shared" si="46"/>
        <v>0.33794759124087581</v>
      </c>
      <c r="J122" s="110">
        <f t="shared" si="46"/>
        <v>0.58356046228710456</v>
      </c>
      <c r="K122" s="110">
        <f t="shared" ref="K122:R122" si="47">IF(+SUM(K99:K102)/(K111+K109)&gt;0,+SUM(K99:K102)/(K111+K109),0)</f>
        <v>0</v>
      </c>
      <c r="L122" s="110">
        <f t="shared" si="47"/>
        <v>0</v>
      </c>
      <c r="M122" s="110">
        <f t="shared" si="47"/>
        <v>0.19427567901234588</v>
      </c>
      <c r="N122" s="110">
        <f t="shared" si="47"/>
        <v>0.77821567901234601</v>
      </c>
      <c r="O122" s="110">
        <f t="shared" si="47"/>
        <v>0.71011679012345685</v>
      </c>
      <c r="P122" s="110">
        <f t="shared" si="47"/>
        <v>0</v>
      </c>
      <c r="Q122" s="110">
        <f t="shared" si="47"/>
        <v>0.15893777777777696</v>
      </c>
      <c r="R122" s="110">
        <f t="shared" si="47"/>
        <v>0.51303148148148059</v>
      </c>
      <c r="S122" s="110">
        <f t="shared" ref="S122:AD122" si="48">IF(+SUM(S99:S103)/(S111+S109+S113)&gt;0,+SUM(S99:S103)/(S111+S109+S113),0)</f>
        <v>0.91967049586776817</v>
      </c>
      <c r="T122" s="110">
        <f t="shared" si="48"/>
        <v>0.98525834710743765</v>
      </c>
      <c r="U122" s="110">
        <f t="shared" si="48"/>
        <v>0</v>
      </c>
      <c r="V122" s="110">
        <f t="shared" si="48"/>
        <v>0.44046785123966931</v>
      </c>
      <c r="W122" s="110">
        <f t="shared" si="48"/>
        <v>0.68099495867768611</v>
      </c>
      <c r="X122" s="110">
        <f t="shared" si="48"/>
        <v>0.65744173553719021</v>
      </c>
      <c r="Y122" s="110">
        <f t="shared" si="48"/>
        <v>0.12522644628099228</v>
      </c>
      <c r="Z122" s="110">
        <f t="shared" si="48"/>
        <v>0.75726892561983494</v>
      </c>
      <c r="AA122" s="110">
        <f t="shared" si="48"/>
        <v>0.87805743801652913</v>
      </c>
      <c r="AB122" s="110">
        <f t="shared" si="48"/>
        <v>1.0061544628099179</v>
      </c>
      <c r="AC122" s="110">
        <f t="shared" si="48"/>
        <v>0</v>
      </c>
      <c r="AD122" s="110">
        <f t="shared" si="48"/>
        <v>0</v>
      </c>
      <c r="AE122" s="110">
        <f t="shared" ref="AE122:AK122" si="49">IF(+SUM(AE99:AE104)/(AE111+AE109+AE113)&gt;0,+SUM(AE99:AE104)/(AE111+AE109+AE113+AE115),0)</f>
        <v>0</v>
      </c>
      <c r="AF122" s="110">
        <f t="shared" si="49"/>
        <v>0</v>
      </c>
      <c r="AG122" s="110">
        <f t="shared" si="49"/>
        <v>0.39708038888889069</v>
      </c>
      <c r="AH122" s="110">
        <f t="shared" si="49"/>
        <v>0.7373699259259282</v>
      </c>
      <c r="AI122" s="110">
        <f t="shared" si="49"/>
        <v>0.88591631481481692</v>
      </c>
      <c r="AJ122" s="110">
        <f t="shared" si="49"/>
        <v>1.3953104814814836</v>
      </c>
      <c r="AK122" s="110">
        <f t="shared" si="49"/>
        <v>1.5828102037037057</v>
      </c>
      <c r="AL122" s="110">
        <f>IF(+SUM(AL99:AL104)/(AL111+AL109+AL113)&gt;0,+SUM(AL99:AL104)/(AL111+AL109+AL113+AL115),0)</f>
        <v>1.8230710370370393</v>
      </c>
      <c r="AM122" s="86"/>
      <c r="AN122" s="86"/>
      <c r="AO122" s="86"/>
    </row>
    <row r="123" spans="1:41" s="59" customFormat="1" x14ac:dyDescent="0.4"/>
    <row r="124" spans="1:41" s="59" customFormat="1" x14ac:dyDescent="0.4">
      <c r="A124" s="59" t="s">
        <v>144</v>
      </c>
      <c r="AE124" s="59">
        <f>+AE105</f>
        <v>728942.82</v>
      </c>
      <c r="AF124" s="59">
        <f t="shared" ref="AF124:AL124" si="50">+AF105</f>
        <v>684470.65999999992</v>
      </c>
      <c r="AG124" s="59">
        <f t="shared" si="50"/>
        <v>708722.21999999986</v>
      </c>
      <c r="AH124" s="59">
        <f t="shared" si="50"/>
        <v>779136.34333333303</v>
      </c>
      <c r="AI124" s="59">
        <f t="shared" si="50"/>
        <v>763978.41333333321</v>
      </c>
      <c r="AJ124" s="59">
        <f t="shared" si="50"/>
        <v>750463.05333333311</v>
      </c>
      <c r="AK124" s="59">
        <f t="shared" si="50"/>
        <v>709243.89999999991</v>
      </c>
      <c r="AL124" s="59">
        <f t="shared" si="50"/>
        <v>524390.29999999981</v>
      </c>
    </row>
    <row r="125" spans="1:41" s="59" customFormat="1" x14ac:dyDescent="0.4">
      <c r="A125" s="115" t="s">
        <v>142</v>
      </c>
      <c r="B125" s="116">
        <f>IF(-B110-B101&lt;0,0,-B110-B101)</f>
        <v>111410.75</v>
      </c>
      <c r="C125" s="116">
        <f>IF(-C110-C101&lt;0,0,-C110-C101)</f>
        <v>27593.149999999994</v>
      </c>
      <c r="D125" s="116">
        <f>IF(-D110-D101&lt;0,0,-D110-D101)</f>
        <v>27593.149999999994</v>
      </c>
      <c r="E125" s="116">
        <f>IF(-E110-E101&lt;0,0,-E110-E101)</f>
        <v>71182.399999999994</v>
      </c>
      <c r="F125" s="116">
        <f>IF(-F110-F101&lt;0,0,-F110-F101)</f>
        <v>104663</v>
      </c>
      <c r="G125" s="116">
        <f>IF(-G110-G101&lt;0,0,-G110-G101)</f>
        <v>104663</v>
      </c>
      <c r="H125" s="116">
        <f>IF(-H110-H101&lt;0,0,-H110-H101)</f>
        <v>126518</v>
      </c>
      <c r="I125" s="116">
        <f>IF(-I110-I101&lt;0,0,-I110-I101)</f>
        <v>60892.759999999995</v>
      </c>
      <c r="J125" s="116">
        <f>IF(-J110-J101&lt;0,0,-J110-J101)</f>
        <v>80844.429999999993</v>
      </c>
      <c r="K125" s="116">
        <f>IF(-K110-K101&lt;0,0,-K110-K101)</f>
        <v>46756.759999999995</v>
      </c>
      <c r="L125" s="116">
        <f>IF(-L110-L101&lt;0,0,-L110-L101)</f>
        <v>88063.76</v>
      </c>
      <c r="M125" s="116">
        <f>IF(-M110-M101&lt;0,0,-M110-M101)</f>
        <v>144460</v>
      </c>
      <c r="N125" s="116">
        <f>IF(-N110-N101&lt;0,0,-N110-N101)</f>
        <v>155000</v>
      </c>
      <c r="O125" s="116">
        <f>IF(-O110-O101&lt;0,0,-O110-O101)</f>
        <v>186541.56</v>
      </c>
      <c r="P125" s="116">
        <f>IF(-P110-P101&lt;0,0,-P110-P101)</f>
        <v>145637.16999999998</v>
      </c>
      <c r="Q125" s="116">
        <f>IF(-Q110-Q101&lt;0,0,-Q110-Q101)</f>
        <v>137744.60999999999</v>
      </c>
      <c r="R125" s="116">
        <f>IF(-R110-R101&lt;0,0,-R110-R101)</f>
        <v>118938.60999999999</v>
      </c>
      <c r="S125" s="116">
        <f>IF(-S110-S101&lt;0,0,-S110-S101)</f>
        <v>145765.21</v>
      </c>
      <c r="T125" s="116">
        <f>IF(-T110-T101&lt;0,0,-T110-T101)</f>
        <v>188710</v>
      </c>
      <c r="U125" s="116">
        <f>IF(-U110-U101&lt;0,0,-U110-U101)</f>
        <v>210434</v>
      </c>
      <c r="V125" s="116">
        <f>IF(-V110-V101&lt;0,0,-V110-V101)</f>
        <v>210434</v>
      </c>
      <c r="W125" s="116">
        <f>IF(-W110-W101&lt;0,0,-W110-W101)</f>
        <v>229190</v>
      </c>
      <c r="X125" s="116">
        <f>IF(-X110-X101&lt;0,0,-X110-X101)</f>
        <v>218979.21</v>
      </c>
      <c r="Y125" s="116">
        <f>IF(-Y110-Y101&lt;0,0,-Y110-Y101)</f>
        <v>189041.55</v>
      </c>
      <c r="Z125" s="116">
        <f>IF(-Z110-Z101&lt;0,0,-Z110-Z101)</f>
        <v>150156.57</v>
      </c>
      <c r="AA125" s="116">
        <f>IF(-AA110-AA101&lt;0,0,-AA110-AA101)</f>
        <v>111577.83000000002</v>
      </c>
      <c r="AB125" s="116">
        <f>IF(-AB110-AB101&lt;0,0,-AB110-AB101)</f>
        <v>89118.410000000033</v>
      </c>
      <c r="AC125" s="116">
        <f>IF(-AC110-AC101&lt;0,0,-AC110-AC101)</f>
        <v>0</v>
      </c>
      <c r="AD125" s="116">
        <f>IF(-AD110-AD101&lt;0,0,-AD110-AD101)</f>
        <v>31396.510000000009</v>
      </c>
      <c r="AE125" s="116">
        <f>-+AE120</f>
        <v>675000</v>
      </c>
      <c r="AF125" s="116">
        <f t="shared" ref="AF125:AL125" si="51">-+AF120</f>
        <v>675000</v>
      </c>
      <c r="AG125" s="116">
        <f t="shared" si="51"/>
        <v>1075000</v>
      </c>
      <c r="AH125" s="116">
        <f t="shared" si="51"/>
        <v>1075000</v>
      </c>
      <c r="AI125" s="116">
        <f t="shared" si="51"/>
        <v>1075000</v>
      </c>
      <c r="AJ125" s="116">
        <f t="shared" si="51"/>
        <v>1075000</v>
      </c>
      <c r="AK125" s="116">
        <f t="shared" si="51"/>
        <v>1075000</v>
      </c>
      <c r="AL125" s="116">
        <f t="shared" si="51"/>
        <v>1075000</v>
      </c>
    </row>
    <row r="126" spans="1:41" s="119" customFormat="1" ht="14.1" x14ac:dyDescent="0.5">
      <c r="A126" s="132" t="s">
        <v>59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8" t="e">
        <f>+K125+#REF!+#REF!</f>
        <v>#REF!</v>
      </c>
      <c r="L126" s="118" t="e">
        <f>+L125+#REF!+#REF!</f>
        <v>#REF!</v>
      </c>
      <c r="M126" s="118" t="e">
        <f>+M125+#REF!+#REF!</f>
        <v>#REF!</v>
      </c>
      <c r="N126" s="118" t="e">
        <f>+N125+#REF!+#REF!</f>
        <v>#REF!</v>
      </c>
      <c r="O126" s="118" t="e">
        <f>+O125+#REF!+#REF!</f>
        <v>#REF!</v>
      </c>
      <c r="P126" s="118" t="e">
        <f>+P125+#REF!+#REF!</f>
        <v>#REF!</v>
      </c>
      <c r="Q126" s="118" t="e">
        <f>+Q125+#REF!+#REF!</f>
        <v>#REF!</v>
      </c>
      <c r="R126" s="118" t="e">
        <f>+R125+#REF!+#REF!</f>
        <v>#REF!</v>
      </c>
      <c r="S126" s="118" t="e">
        <f>+S125+#REF!+#REF!</f>
        <v>#REF!</v>
      </c>
      <c r="T126" s="118" t="e">
        <f>+T125+#REF!+#REF!</f>
        <v>#REF!</v>
      </c>
      <c r="U126" s="118" t="e">
        <f>+U125+#REF!+#REF!</f>
        <v>#REF!</v>
      </c>
      <c r="V126" s="118" t="e">
        <f>+V125+#REF!+#REF!</f>
        <v>#REF!</v>
      </c>
      <c r="W126" s="118" t="e">
        <f>+W125+#REF!+#REF!</f>
        <v>#REF!</v>
      </c>
      <c r="X126" s="118" t="e">
        <f>+X125+#REF!+#REF!</f>
        <v>#REF!</v>
      </c>
      <c r="Y126" s="118" t="e">
        <f>+Y125+#REF!+#REF!</f>
        <v>#REF!</v>
      </c>
      <c r="Z126" s="118" t="e">
        <f>+Z125+#REF!+#REF!</f>
        <v>#REF!</v>
      </c>
      <c r="AA126" s="118" t="e">
        <f>+AA125+#REF!+#REF!</f>
        <v>#REF!</v>
      </c>
      <c r="AB126" s="118" t="e">
        <f>+AB125+#REF!+#REF!</f>
        <v>#REF!</v>
      </c>
      <c r="AC126" s="118" t="e">
        <f>+AC125+#REF!+#REF!</f>
        <v>#REF!</v>
      </c>
      <c r="AD126" s="118" t="e">
        <f>+AD125+#REF!+#REF!</f>
        <v>#REF!</v>
      </c>
      <c r="AE126" s="118">
        <f>+AE125-AE124</f>
        <v>-53942.819999999949</v>
      </c>
      <c r="AF126" s="118">
        <f t="shared" ref="AF126:AL126" si="52">+AF125-AF124</f>
        <v>-9470.6599999999162</v>
      </c>
      <c r="AG126" s="118">
        <f t="shared" si="52"/>
        <v>366277.78000000014</v>
      </c>
      <c r="AH126" s="118">
        <f t="shared" si="52"/>
        <v>295863.65666666697</v>
      </c>
      <c r="AI126" s="118">
        <f t="shared" si="52"/>
        <v>311021.58666666679</v>
      </c>
      <c r="AJ126" s="118">
        <f t="shared" si="52"/>
        <v>324536.94666666689</v>
      </c>
      <c r="AK126" s="118">
        <f t="shared" si="52"/>
        <v>365756.10000000009</v>
      </c>
      <c r="AL126" s="118">
        <f t="shared" si="52"/>
        <v>550609.70000000019</v>
      </c>
      <c r="AM126" s="117"/>
      <c r="AN126" s="117"/>
      <c r="AO126" s="117"/>
    </row>
    <row r="127" spans="1:41" s="137" customFormat="1" x14ac:dyDescent="0.4">
      <c r="A127" s="133" t="s">
        <v>143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5" t="e">
        <f>+#REF!+#REF!+#REF!</f>
        <v>#REF!</v>
      </c>
      <c r="L127" s="135" t="e">
        <f>+#REF!+#REF!+#REF!</f>
        <v>#REF!</v>
      </c>
      <c r="M127" s="135" t="e">
        <f>+#REF!+#REF!+#REF!</f>
        <v>#REF!</v>
      </c>
      <c r="N127" s="135" t="e">
        <f>+#REF!+#REF!+#REF!</f>
        <v>#REF!</v>
      </c>
      <c r="O127" s="135" t="e">
        <f>+#REF!+#REF!+#REF!</f>
        <v>#REF!</v>
      </c>
      <c r="P127" s="135" t="e">
        <f>+#REF!+#REF!+#REF!</f>
        <v>#REF!</v>
      </c>
      <c r="Q127" s="135" t="e">
        <f>+#REF!+#REF!+#REF!</f>
        <v>#REF!</v>
      </c>
      <c r="R127" s="135" t="e">
        <f>+#REF!+#REF!+#REF!</f>
        <v>#REF!</v>
      </c>
      <c r="S127" s="135" t="e">
        <f>+#REF!+#REF!+#REF!</f>
        <v>#REF!</v>
      </c>
      <c r="T127" s="135" t="e">
        <f>+#REF!+#REF!+#REF!</f>
        <v>#REF!</v>
      </c>
      <c r="U127" s="135" t="e">
        <f>+#REF!+#REF!+#REF!</f>
        <v>#REF!</v>
      </c>
      <c r="V127" s="135" t="e">
        <f>+#REF!+#REF!+#REF!</f>
        <v>#REF!</v>
      </c>
      <c r="W127" s="135" t="e">
        <f>+#REF!+#REF!+#REF!</f>
        <v>#REF!</v>
      </c>
      <c r="X127" s="135" t="e">
        <f>+#REF!+#REF!+#REF!</f>
        <v>#REF!</v>
      </c>
      <c r="Y127" s="135" t="e">
        <f>+#REF!+#REF!+#REF!</f>
        <v>#REF!</v>
      </c>
      <c r="Z127" s="135" t="e">
        <f>+#REF!+#REF!+#REF!</f>
        <v>#REF!</v>
      </c>
      <c r="AA127" s="135" t="e">
        <f>+#REF!+#REF!+#REF!</f>
        <v>#REF!</v>
      </c>
      <c r="AB127" s="135" t="e">
        <f>+#REF!+#REF!+#REF!</f>
        <v>#REF!</v>
      </c>
      <c r="AC127" s="135" t="e">
        <f>+#REF!+#REF!+#REF!</f>
        <v>#REF!</v>
      </c>
      <c r="AD127" s="135" t="e">
        <f>+#REF!+#REF!+#REF!</f>
        <v>#REF!</v>
      </c>
      <c r="AE127" s="136">
        <f>+AE124/AE125</f>
        <v>1.0799152888888888</v>
      </c>
      <c r="AF127" s="136">
        <f t="shared" ref="AF127:AL127" si="53">+AF124/AF125</f>
        <v>1.0140306074074072</v>
      </c>
      <c r="AG127" s="136">
        <f t="shared" si="53"/>
        <v>0.65927648372093006</v>
      </c>
      <c r="AH127" s="136">
        <f t="shared" si="53"/>
        <v>0.72477799379844932</v>
      </c>
      <c r="AI127" s="136">
        <f t="shared" si="53"/>
        <v>0.71067759379844953</v>
      </c>
      <c r="AJ127" s="136">
        <f t="shared" si="53"/>
        <v>0.69810516589147265</v>
      </c>
      <c r="AK127" s="136">
        <f t="shared" si="53"/>
        <v>0.65976176744186033</v>
      </c>
      <c r="AL127" s="136">
        <f t="shared" si="53"/>
        <v>0.48780493023255794</v>
      </c>
      <c r="AM127" s="134"/>
      <c r="AN127" s="134"/>
      <c r="AO127" s="134"/>
    </row>
    <row r="128" spans="1:41" s="100" customFormat="1" x14ac:dyDescent="0.4">
      <c r="A128" s="138"/>
      <c r="B128" s="139"/>
      <c r="C128" s="139"/>
      <c r="D128" s="139"/>
      <c r="E128" s="139"/>
      <c r="F128" s="139"/>
      <c r="G128" s="139"/>
      <c r="H128" s="139"/>
      <c r="I128" s="139"/>
      <c r="J128" s="139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1"/>
      <c r="AF128" s="141"/>
      <c r="AG128" s="141"/>
      <c r="AH128" s="141"/>
      <c r="AI128" s="141"/>
      <c r="AJ128" s="141"/>
      <c r="AK128" s="141"/>
      <c r="AL128" s="141"/>
      <c r="AM128" s="139"/>
      <c r="AN128" s="139"/>
      <c r="AO128" s="139"/>
    </row>
    <row r="129" spans="1:116" s="3" customFormat="1" x14ac:dyDescent="0.4">
      <c r="A129" s="6" t="s">
        <v>12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55"/>
      <c r="AN129" s="55"/>
      <c r="AO129" s="5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</row>
    <row r="130" spans="1:116" s="59" customFormat="1" x14ac:dyDescent="0.4">
      <c r="A130" s="76" t="s">
        <v>141</v>
      </c>
      <c r="B130" s="76">
        <f>+B19+B22+B23+B31+B32+B33+B34+B36+B42+B43+B46+B47+B48+B37+B26+B39+B40</f>
        <v>-29741</v>
      </c>
      <c r="C130" s="76">
        <f>+C19+C22+C23+C31+C32+C33+C34+C36+C42+C43+C46+C47+C48+C37+C26+C39+C40</f>
        <v>-58829.399999999987</v>
      </c>
      <c r="D130" s="76">
        <f>+D19+D22+D23+D31+D32+D33+D34+D36+D42+D43+D46+D47+D48+D37+D26+D39+D40</f>
        <v>1477.4499999999834</v>
      </c>
      <c r="E130" s="76">
        <f>+E19+E22+E23+E31+E32+E33+E34+E36+E42+E43+E46+E47+E48+E37+E26+E39+E40</f>
        <v>80008.08</v>
      </c>
      <c r="F130" s="76">
        <f>+F19+F22+F23+F31+F32+F33+F34+F36+F42+F43+F46+F47+F48+F37+F26+F39+F40</f>
        <v>33265.400000000023</v>
      </c>
      <c r="G130" s="76">
        <f>+G19+G22+G23+G31+G32+G33+G34+G36+G42+G43+G46+G47+G48+G37+G26+G39+G40</f>
        <v>48016.609999999986</v>
      </c>
      <c r="H130" s="76">
        <f>+H19+H22+H23+H31+H32+H33+H34+H36+H42+H43+H46+H47+H48+H37+H26+H39+H40</f>
        <v>-11725.430000000004</v>
      </c>
      <c r="I130" s="76">
        <f>+I19+I22+I23+I31+I32+I33+I34+I36+I42+I43+I46+I47+I48+I37+I26+I39+I40</f>
        <v>10731.630000000014</v>
      </c>
      <c r="J130" s="76">
        <f>+J19+J22+J23+J31+J32+J33+J34+J36+J42+J43+J46+J47+J48+J37+J26+J39+J40</f>
        <v>115420.63</v>
      </c>
      <c r="K130" s="76">
        <f>+K19+K22+K23+K31+K32+K33+K34+K36+K42+K43+K46+K47+K48+K37+K26+K39+K40</f>
        <v>-31039.53</v>
      </c>
      <c r="L130" s="76">
        <f>+L19+L22+L23+L31+L32+L33+L34+L36+L42+L43+L46+L47+L48+L37+L26+L39+L40</f>
        <v>44377.239999999976</v>
      </c>
      <c r="M130" s="76">
        <f>+M19+M22+M23+M31+M32+M33+M34+M36+M42+M43+M46+M47+M48+M37+M26+M39+M40</f>
        <v>68317.659999999989</v>
      </c>
      <c r="N130" s="76">
        <f>+N19+N22+N23+N31+N32+N33+N34+N36+N42+N43+N46+N47+N48+N37+N26+N39+N40</f>
        <v>17203.269999999997</v>
      </c>
      <c r="O130" s="76">
        <f>+O19+O22+O23+O31+O32+O33+O34+O36+O42+O43+O46+O47+O48+O37+O26+O39+O40</f>
        <v>4125.2200000000048</v>
      </c>
      <c r="P130" s="76">
        <f>+P19+P22+P23+P31+P32+P33+P34+P36+P42+P43+P46+P47+P48+P37+P26+P39+P40</f>
        <v>-26602.989999999987</v>
      </c>
      <c r="Q130" s="76">
        <f>+Q19+Q22+Q23+Q31+Q32+Q33+Q34+Q36+Q42+Q43+Q46+Q47+Q48+Q37+Q26+Q39+Q40</f>
        <v>-31492.479999999985</v>
      </c>
      <c r="R130" s="76">
        <f>+R19+R22+R23+R31+R32+R33+R34+R36+R42+R43+R46+R47+R48+R37+R26+R39+R40</f>
        <v>4288.3000000000056</v>
      </c>
      <c r="S130" s="76">
        <f>+S19+S22+S23+S31+S32+S33+S34+S36+S42+S43+S46+S47+S48+S37+S26+S39+S40</f>
        <v>11680.25</v>
      </c>
      <c r="T130" s="76">
        <f>+T19+T22+T23+T31+T32+T33+T34+T36+T42+T43+T46+T47+T48+T37+T26+T39+T40</f>
        <v>72896.789999999994</v>
      </c>
      <c r="U130" s="76">
        <f>+U19+U22+U23+U31+U32+U33+U34+U36+U42+U43+U46+U47+U48+U37+U26+U39+U40</f>
        <v>-29291.370000000003</v>
      </c>
      <c r="V130" s="76">
        <f>+V19+V22+V23+V31+V32+V33+V34+V36+V42+V43+V46+V47+V48+V37+V26+V39+V40</f>
        <v>8671.9500000000007</v>
      </c>
      <c r="W130" s="76">
        <f>+W19+W22+W23+W31+W32+W33+W34+W36+W42+W43+W46+W47+W48+W37+W26+W39+W40</f>
        <v>1349.7399999999943</v>
      </c>
      <c r="X130" s="76">
        <f>+X19+X22+X23+X31+X32+X33+X34+X36+X42+X43+X46+X47+X48+X37+X26+X39+X40</f>
        <v>17890.89</v>
      </c>
      <c r="Y130" s="76">
        <f>+Y19+Y22+Y23+Y31+Y32+Y33+Y34+Y36+Y42+Y43+Y46+Y47+Y48+Y37+Y26+Y39+Y40</f>
        <v>-21919.750000000007</v>
      </c>
      <c r="Z130" s="76">
        <f>+Z19+Z22+Z23+Z31+Z32+Z33+Z34+Z36+Z42+Z43+Z46+Z47+Z48+Z37+Z26+Z39+Z40</f>
        <v>-49074.959999999985</v>
      </c>
      <c r="AA130" s="76">
        <f>+AA19+AA22+AA23+AA31+AA32+AA33+AA34+AA36+AA42+AA43+AA46+AA47+AA48+AA37+AA26+AA39+AA40</f>
        <v>855.22000000000844</v>
      </c>
      <c r="AB130" s="76">
        <f>+AB19+AB22+AB23+AB31+AB32+AB33+AB34+AB36+AB42+AB43+AB46+AB47+AB48+AB37+AB26+AB39+AB40</f>
        <v>-53803.75</v>
      </c>
      <c r="AC130" s="76">
        <f>+AC19+AC22+AC23+AC31+AC32+AC33+AC34+AC36+AC42+AC43+AC46+AC47+AC48+AC37+AC26+AC39+AC40</f>
        <v>26306.360000000011</v>
      </c>
      <c r="AD130" s="76">
        <f>+AD19+AD22+AD23+AD31+AD32+AD33+AD34+AD36+AD42+AD43+AD46+AD47+AD48+AD37+AD26+AD39+AD40</f>
        <v>-19854.720000000005</v>
      </c>
      <c r="AE130" s="76">
        <f>+AE19+AE22+AE23+AE26+AE52</f>
        <v>10173.530000000028</v>
      </c>
      <c r="AF130" s="76">
        <f>+AF19+AF22+AF23+AF26+AF52</f>
        <v>81590.290000000008</v>
      </c>
      <c r="AG130" s="76">
        <f>+AG19+AG22+AG23+AG26+AG52</f>
        <v>13315.309999999998</v>
      </c>
      <c r="AH130" s="76">
        <f>+AH19+AH22+AH23+AH26+AH52</f>
        <v>70453.949999999983</v>
      </c>
      <c r="AI130" s="76">
        <f>+AI19+AI22+AI23+AI26+AI52</f>
        <v>10344.76999999996</v>
      </c>
      <c r="AJ130" s="76">
        <f>+AJ19+AJ22+AJ23+AJ26+AJ52</f>
        <v>-47702.399999999994</v>
      </c>
      <c r="AK130" s="76">
        <f>+AK19+AK22+AK23+AK26+AK52</f>
        <v>62988.393333333341</v>
      </c>
      <c r="AL130" s="76">
        <f>+AL19+AL22+AL23+AL26+AL52</f>
        <v>193622.83999999997</v>
      </c>
      <c r="AM130" s="76"/>
      <c r="AN130" s="76"/>
      <c r="AO130" s="76"/>
    </row>
    <row r="131" spans="1:116" s="59" customFormat="1" x14ac:dyDescent="0.4">
      <c r="A131" s="76" t="s">
        <v>14</v>
      </c>
      <c r="B131" s="76">
        <f>+B63+B55+B56+B59</f>
        <v>-18248</v>
      </c>
      <c r="C131" s="76">
        <f>+C63+C55+C56+C59</f>
        <v>-6097.33</v>
      </c>
      <c r="D131" s="76">
        <f>+D63+D55+D56+D59</f>
        <v>-6097.33</v>
      </c>
      <c r="E131" s="76">
        <f>+E63+E55+E56+E59</f>
        <v>-6097.33</v>
      </c>
      <c r="F131" s="76">
        <f>+F63+F55+F56+F59</f>
        <v>-6097.33</v>
      </c>
      <c r="G131" s="76">
        <f>+G63+G55+G56+G59</f>
        <v>-6097.33</v>
      </c>
      <c r="H131" s="76">
        <f>+H63+H55+H56+H59</f>
        <v>-5665.33</v>
      </c>
      <c r="I131" s="76">
        <f>+I63+I55+I56+I59</f>
        <v>-10933.33</v>
      </c>
      <c r="J131" s="76">
        <f>+J63+J55+J56+J59+J60</f>
        <v>-3503.7999999999997</v>
      </c>
      <c r="K131" s="76">
        <f>+K63+K55+K56+K59+K60</f>
        <v>-5665.33</v>
      </c>
      <c r="L131" s="76">
        <f>+L63+L55+L56+L59+L60</f>
        <v>-5665.33</v>
      </c>
      <c r="M131" s="76">
        <f>+M63+M55+M56+M59+M60</f>
        <v>-4897.33</v>
      </c>
      <c r="N131" s="76">
        <f>+N63+N55+N56+N59+N60</f>
        <v>-5318.42</v>
      </c>
      <c r="O131" s="76">
        <f>+O63+O55+O56+O59+O60</f>
        <v>-4897.33</v>
      </c>
      <c r="P131" s="76">
        <f>+P63+P55+P56+P59+P60</f>
        <v>-4897.33</v>
      </c>
      <c r="Q131" s="76">
        <f>+Q63+Q55+Q56+Q59+Q60</f>
        <v>-18010.62</v>
      </c>
      <c r="R131" s="76">
        <f>+R63+R55+R56+R59+R60</f>
        <v>-4500</v>
      </c>
      <c r="S131" s="76">
        <f>+S63+S55+S56+S59+S60</f>
        <v>-4897.33</v>
      </c>
      <c r="T131" s="76">
        <f>+T63+T55+T56+T59+T60</f>
        <v>-397.33</v>
      </c>
      <c r="U131" s="76">
        <f>+U63+U55+U56+U59+U60</f>
        <v>-30360.400000000001</v>
      </c>
      <c r="V131" s="76">
        <f>+V63+V55+V56+V59+V60</f>
        <v>-3312.38</v>
      </c>
      <c r="W131" s="76">
        <f>+W63+W55+W56+W59+W60</f>
        <v>-3312.38</v>
      </c>
      <c r="X131" s="76">
        <f>+X63+X55+X56+X59+X60</f>
        <v>-3312.38</v>
      </c>
      <c r="Y131" s="76">
        <f>+Y63+Y55+Y56+Y59+Y60+Y61+Y62</f>
        <v>-5641.0599999999995</v>
      </c>
      <c r="Z131" s="76">
        <f>+Z63+Z55+Z56+Z59+Z60+Z61+Z62</f>
        <v>-12093.13</v>
      </c>
      <c r="AA131" s="76">
        <f>+AA63+AA55+AA56+AA59+AA60+AA61+AA62</f>
        <v>-16029.33</v>
      </c>
      <c r="AB131" s="76">
        <f>+AB63+AB55+AB56+AB59+AB60+AB61+AB62</f>
        <v>-4494.8900000000003</v>
      </c>
      <c r="AC131" s="76">
        <f>+AC63+AC55+AC56+AC59+AC60+AC61+AC62</f>
        <v>-4494.8900000000003</v>
      </c>
      <c r="AD131" s="76">
        <f>+AD63+AD55+AD56+AD59+AD60+AD61+AD62</f>
        <v>-10858.230000000001</v>
      </c>
      <c r="AE131" s="76">
        <f>+AE65</f>
        <v>-12722.880000000001</v>
      </c>
      <c r="AF131" s="76">
        <f>+AF65</f>
        <v>-12543.98</v>
      </c>
      <c r="AG131" s="76">
        <f>+AG65</f>
        <v>-11896.69</v>
      </c>
      <c r="AH131" s="76">
        <f>+AH65</f>
        <v>-41896.69</v>
      </c>
      <c r="AI131" s="76">
        <f>+AI65</f>
        <v>-11696.69</v>
      </c>
      <c r="AJ131" s="76">
        <f>+AJ65</f>
        <v>-161694.68999999997</v>
      </c>
      <c r="AK131" s="76">
        <f>+AK65</f>
        <v>-19192.690000000002</v>
      </c>
      <c r="AL131" s="76">
        <f>+AL65</f>
        <v>-36690.69</v>
      </c>
      <c r="AM131" s="76"/>
      <c r="AN131" s="76"/>
      <c r="AO131" s="76"/>
    </row>
    <row r="132" spans="1:116" s="59" customFormat="1" x14ac:dyDescent="0.4">
      <c r="A132" s="59" t="s">
        <v>13</v>
      </c>
      <c r="AE132" s="59">
        <f>+AE131+AE130</f>
        <v>-2549.3499999999731</v>
      </c>
      <c r="AF132" s="59">
        <f t="shared" ref="AF132:AL132" si="54">+AF131+AF130</f>
        <v>69046.310000000012</v>
      </c>
      <c r="AG132" s="59">
        <f t="shared" si="54"/>
        <v>1418.6199999999972</v>
      </c>
      <c r="AH132" s="59">
        <f t="shared" si="54"/>
        <v>28557.25999999998</v>
      </c>
      <c r="AI132" s="59">
        <f t="shared" si="54"/>
        <v>-1351.9200000000401</v>
      </c>
      <c r="AJ132" s="59">
        <f t="shared" si="54"/>
        <v>-209397.08999999997</v>
      </c>
      <c r="AK132" s="59">
        <f t="shared" si="54"/>
        <v>43795.703333333338</v>
      </c>
      <c r="AL132" s="59">
        <f t="shared" si="54"/>
        <v>156932.14999999997</v>
      </c>
      <c r="AM132" s="76"/>
      <c r="AN132" s="76"/>
      <c r="AO132" s="76"/>
    </row>
    <row r="133" spans="1:116" s="59" customFormat="1" x14ac:dyDescent="0.4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</row>
    <row r="134" spans="1:116" s="120" customFormat="1" x14ac:dyDescent="0.4">
      <c r="A134" s="76" t="s">
        <v>15</v>
      </c>
      <c r="B134" s="76">
        <f>+B25+SUM(B68:B72)</f>
        <v>0</v>
      </c>
      <c r="C134" s="76">
        <f>+C25+SUM(C68:C72)</f>
        <v>-40.099999999999994</v>
      </c>
      <c r="D134" s="76">
        <f>+D25+SUM(D68:D72)</f>
        <v>-1124.08</v>
      </c>
      <c r="E134" s="76">
        <f>+E25+SUM(E68:E72)</f>
        <v>-43.4</v>
      </c>
      <c r="F134" s="76">
        <f>+F25+SUM(F68:F72)</f>
        <v>-23.020000000000003</v>
      </c>
      <c r="G134" s="76">
        <f>+G25+SUM(G68:G72)</f>
        <v>-1608.87</v>
      </c>
      <c r="H134" s="76">
        <f>+H25+SUM(H68:H72)</f>
        <v>-17.939999999999998</v>
      </c>
      <c r="I134" s="76">
        <f>+I25+SUM(I68:I72)</f>
        <v>-63.67</v>
      </c>
      <c r="J134" s="76">
        <f>+J25+SUM(J68:J72)</f>
        <v>-2863.7200000000007</v>
      </c>
      <c r="K134" s="76">
        <f>+K25+SUM(K68:K72)</f>
        <v>-25.75</v>
      </c>
      <c r="L134" s="76">
        <f>+L25+SUM(L68:L72)</f>
        <v>-35.270000000000003</v>
      </c>
      <c r="M134" s="76">
        <f>+M25+SUM(M68:M72)</f>
        <v>-2312.61</v>
      </c>
      <c r="N134" s="76">
        <f>+N25+SUM(N68:N72)</f>
        <v>-2230.9299999999998</v>
      </c>
      <c r="O134" s="76">
        <f>+O25+SUM(O68:O72)</f>
        <v>-78.52</v>
      </c>
      <c r="P134" s="76">
        <f>+P25+SUM(P68:P72)</f>
        <v>193420.65</v>
      </c>
      <c r="Q134" s="76">
        <f>+Q25+SUM(Q68:Q72)</f>
        <v>-990.58999999999992</v>
      </c>
      <c r="R134" s="76">
        <f>+R25+SUM(R68:R72)</f>
        <v>-107.5</v>
      </c>
      <c r="S134" s="76">
        <f>+S25+SUM(S68:S72)</f>
        <v>-2174.4399999999996</v>
      </c>
      <c r="T134" s="76">
        <f>+T25+SUM(T68:T72)</f>
        <v>-1544.84</v>
      </c>
      <c r="U134" s="76">
        <f>+U25+SUM(U68:U72)</f>
        <v>243585.37</v>
      </c>
      <c r="V134" s="76">
        <f>+V25+SUM(V68:V72)</f>
        <v>-7268.6</v>
      </c>
      <c r="W134" s="76">
        <f>+W25+SUM(W68:W72)</f>
        <v>-6180.59</v>
      </c>
      <c r="X134" s="76">
        <f>+X25+SUM(X68:X72)</f>
        <v>-1020.4200000000128</v>
      </c>
      <c r="Y134" s="76">
        <f>+Y25+SUM(Y68:Y72)</f>
        <v>-7419.9</v>
      </c>
      <c r="Z134" s="76">
        <f>+Z25+SUM(Z68:Z72)</f>
        <v>-6172.0300000000007</v>
      </c>
      <c r="AA134" s="76">
        <f>+AA25+SUM(AA68:AA72)</f>
        <v>-4795.6400000000003</v>
      </c>
      <c r="AB134" s="76">
        <f>+AB25+SUM(AB68:AB72)</f>
        <v>-6559</v>
      </c>
      <c r="AC134" s="76">
        <f>+AC25+SUM(AC68:AC72)</f>
        <v>-3351.0400000000009</v>
      </c>
      <c r="AD134" s="76">
        <f>+AD25+SUM(AD68:AD72)</f>
        <v>-9482.57</v>
      </c>
      <c r="AE134" s="76">
        <f>+AE25+AE71</f>
        <v>-5070.47</v>
      </c>
      <c r="AF134" s="76">
        <f>+AF25+AF71</f>
        <v>-4933.1899999999996</v>
      </c>
      <c r="AG134" s="76">
        <f>+AG25+AG71</f>
        <v>-4928.5</v>
      </c>
      <c r="AH134" s="76">
        <f>+AH25+AH71</f>
        <v>-4828.5</v>
      </c>
      <c r="AI134" s="76">
        <f>+AI25+AI71</f>
        <v>-4828.5</v>
      </c>
      <c r="AJ134" s="76">
        <f>+AJ25+AJ71</f>
        <v>136621.5</v>
      </c>
      <c r="AK134" s="76">
        <f>+AK25+AK71</f>
        <v>-9926.5</v>
      </c>
      <c r="AL134" s="76">
        <f>+AL25+AL71</f>
        <v>-9925.5</v>
      </c>
      <c r="AM134" s="76"/>
      <c r="AN134" s="76"/>
      <c r="AO134" s="76"/>
    </row>
    <row r="135" spans="1:116" s="76" customFormat="1" x14ac:dyDescent="0.4">
      <c r="A135" s="76" t="s">
        <v>16</v>
      </c>
      <c r="B135" s="76" t="e">
        <f>+B74+B75+#REF!</f>
        <v>#REF!</v>
      </c>
      <c r="C135" s="76" t="e">
        <f>+C74+C75+#REF!</f>
        <v>#REF!</v>
      </c>
      <c r="D135" s="76" t="e">
        <f>+D74+D75+#REF!</f>
        <v>#REF!</v>
      </c>
      <c r="E135" s="76" t="e">
        <f>+E74+E75+#REF!</f>
        <v>#REF!</v>
      </c>
      <c r="F135" s="76" t="e">
        <f>+F74+F75+#REF!</f>
        <v>#REF!</v>
      </c>
      <c r="G135" s="76" t="e">
        <f>+G74+G75+#REF!</f>
        <v>#REF!</v>
      </c>
      <c r="H135" s="76" t="e">
        <f>+H74+H75+#REF!</f>
        <v>#REF!</v>
      </c>
      <c r="I135" s="76" t="e">
        <f>+I74+I75+#REF!</f>
        <v>#REF!</v>
      </c>
      <c r="J135" s="76" t="e">
        <f>+J74+J75+#REF!</f>
        <v>#REF!</v>
      </c>
      <c r="K135" s="76" t="e">
        <f>+K74+K75+#REF!</f>
        <v>#REF!</v>
      </c>
      <c r="L135" s="76" t="e">
        <f>+L74+L75+#REF!</f>
        <v>#REF!</v>
      </c>
      <c r="M135" s="76" t="e">
        <f>+M74+M75+#REF!</f>
        <v>#REF!</v>
      </c>
      <c r="N135" s="76" t="e">
        <f>+N74+N75+#REF!</f>
        <v>#REF!</v>
      </c>
      <c r="O135" s="76" t="e">
        <f>+O74+O75+#REF!</f>
        <v>#REF!</v>
      </c>
      <c r="P135" s="76" t="e">
        <f>+P74+P75+#REF!</f>
        <v>#REF!</v>
      </c>
      <c r="Q135" s="76" t="e">
        <f>+Q74+Q75+#REF!</f>
        <v>#REF!</v>
      </c>
      <c r="R135" s="76" t="e">
        <f>+R74+R75+#REF!</f>
        <v>#REF!</v>
      </c>
      <c r="S135" s="76" t="e">
        <f>+S74+S75+#REF!</f>
        <v>#REF!</v>
      </c>
      <c r="T135" s="76" t="e">
        <f>+T74+T75+#REF!</f>
        <v>#REF!</v>
      </c>
      <c r="U135" s="76" t="e">
        <f>+U74+U75+#REF!</f>
        <v>#REF!</v>
      </c>
      <c r="V135" s="76" t="e">
        <f>+V74+V75+#REF!</f>
        <v>#REF!</v>
      </c>
      <c r="W135" s="76" t="e">
        <f>+W74+W75+#REF!</f>
        <v>#REF!</v>
      </c>
      <c r="X135" s="76" t="e">
        <f>+X74+X75+#REF!</f>
        <v>#REF!</v>
      </c>
      <c r="Y135" s="76" t="e">
        <f>+Y74+Y75+#REF!</f>
        <v>#REF!</v>
      </c>
      <c r="Z135" s="76" t="e">
        <f>+Z74+Z75+#REF!</f>
        <v>#REF!</v>
      </c>
      <c r="AA135" s="76" t="e">
        <f>+AA74+AA75+#REF!</f>
        <v>#REF!</v>
      </c>
      <c r="AB135" s="76" t="e">
        <f>+AB74+AB75+#REF!</f>
        <v>#REF!</v>
      </c>
      <c r="AC135" s="76" t="e">
        <f>+AC74+AC75+#REF!</f>
        <v>#REF!</v>
      </c>
      <c r="AD135" s="76" t="e">
        <f>+AD74+AD75+#REF!</f>
        <v>#REF!</v>
      </c>
      <c r="AE135" s="76">
        <f>+AE77</f>
        <v>-4822.96</v>
      </c>
      <c r="AF135" s="76">
        <f>+AF77</f>
        <v>0</v>
      </c>
      <c r="AG135" s="76">
        <f>+AG77</f>
        <v>-46000</v>
      </c>
      <c r="AH135" s="76">
        <f>+AH77</f>
        <v>-8995</v>
      </c>
      <c r="AI135" s="76">
        <f>+AI77</f>
        <v>0</v>
      </c>
      <c r="AJ135" s="76">
        <f>+AJ77</f>
        <v>0</v>
      </c>
      <c r="AK135" s="76">
        <f>+AK77</f>
        <v>0</v>
      </c>
      <c r="AL135" s="76">
        <f>+AL77</f>
        <v>0</v>
      </c>
    </row>
    <row r="136" spans="1:116" s="76" customFormat="1" x14ac:dyDescent="0.4">
      <c r="A136" s="76" t="s">
        <v>17</v>
      </c>
      <c r="B136" s="76">
        <f>+B80+B24</f>
        <v>0</v>
      </c>
      <c r="C136" s="76">
        <f>+C80+C24</f>
        <v>0</v>
      </c>
      <c r="D136" s="76">
        <f>+D80+D24</f>
        <v>0</v>
      </c>
      <c r="E136" s="76">
        <f>+E80+E24</f>
        <v>0</v>
      </c>
      <c r="F136" s="76">
        <f>+F80+F24</f>
        <v>0</v>
      </c>
      <c r="G136" s="76">
        <f>+G80+G24</f>
        <v>0</v>
      </c>
      <c r="H136" s="76">
        <f>+H80+H24</f>
        <v>0</v>
      </c>
      <c r="I136" s="76">
        <f>+I80+I24</f>
        <v>0</v>
      </c>
      <c r="J136" s="76">
        <f>+J80+J24</f>
        <v>0</v>
      </c>
      <c r="K136" s="76">
        <f>+K80+K24</f>
        <v>0</v>
      </c>
      <c r="L136" s="76">
        <f>+L80+L24</f>
        <v>0</v>
      </c>
      <c r="M136" s="76">
        <f>+M80+M24</f>
        <v>0</v>
      </c>
      <c r="N136" s="76">
        <f>+N80+N24</f>
        <v>0</v>
      </c>
      <c r="O136" s="76">
        <f>+O80+O24</f>
        <v>0</v>
      </c>
      <c r="P136" s="76">
        <f>+P80+P24</f>
        <v>0</v>
      </c>
      <c r="Q136" s="76">
        <f>+Q80+Q24</f>
        <v>0</v>
      </c>
      <c r="R136" s="76">
        <f>+R80+R24</f>
        <v>0</v>
      </c>
      <c r="S136" s="76">
        <f>+S80+S24</f>
        <v>0</v>
      </c>
      <c r="T136" s="76">
        <f>+T80+T24</f>
        <v>0</v>
      </c>
      <c r="U136" s="76">
        <f>+U80+U24</f>
        <v>0</v>
      </c>
      <c r="V136" s="76">
        <f>+V80+V24</f>
        <v>0</v>
      </c>
      <c r="W136" s="76">
        <f>+W80+W24</f>
        <v>0</v>
      </c>
      <c r="X136" s="76">
        <f>+X80+X24</f>
        <v>0</v>
      </c>
      <c r="Y136" s="76">
        <f>+Y80+Y24</f>
        <v>0</v>
      </c>
      <c r="Z136" s="76">
        <f>+Z80+Z24</f>
        <v>0</v>
      </c>
      <c r="AA136" s="76">
        <f>+AA80+AA24</f>
        <v>0</v>
      </c>
      <c r="AB136" s="76">
        <f>+AB80+AB24</f>
        <v>0</v>
      </c>
      <c r="AC136" s="76">
        <f>+AC80+AC24</f>
        <v>0</v>
      </c>
      <c r="AD136" s="76">
        <f>+AD80+AD24</f>
        <v>0</v>
      </c>
      <c r="AE136" s="76">
        <f>+AE84+AE24</f>
        <v>0</v>
      </c>
      <c r="AF136" s="76">
        <f>+AF84+AF24</f>
        <v>0</v>
      </c>
      <c r="AG136" s="76">
        <f>+AG84+AG24</f>
        <v>0</v>
      </c>
      <c r="AH136" s="76">
        <f>+AH84+AH24</f>
        <v>-120000</v>
      </c>
      <c r="AI136" s="76">
        <f>+AI84+AI24</f>
        <v>0</v>
      </c>
      <c r="AJ136" s="76">
        <f>+AJ84+AJ24</f>
        <v>0</v>
      </c>
      <c r="AK136" s="76">
        <f>+AK84+AK24</f>
        <v>0</v>
      </c>
      <c r="AL136" s="76">
        <f>+AL84+AL24</f>
        <v>0</v>
      </c>
    </row>
    <row r="137" spans="1:116" s="76" customFormat="1" x14ac:dyDescent="0.4">
      <c r="A137" s="76" t="s">
        <v>18</v>
      </c>
      <c r="B137" s="76">
        <f>+B81+B82+B83</f>
        <v>-5400</v>
      </c>
      <c r="C137" s="76">
        <f>+C81+C82+C83</f>
        <v>-26400</v>
      </c>
      <c r="D137" s="76">
        <f>+D81+D82+D83</f>
        <v>-5400</v>
      </c>
      <c r="E137" s="76">
        <f>+E81+E82+E83</f>
        <v>-5400</v>
      </c>
      <c r="F137" s="76">
        <f>+F81+F82+F83</f>
        <v>-26400</v>
      </c>
      <c r="G137" s="76">
        <f>+G81+G82+G83</f>
        <v>-5400</v>
      </c>
      <c r="H137" s="76">
        <f>+H81+H82+H83</f>
        <v>-26400</v>
      </c>
      <c r="I137" s="76">
        <f>+I81+I82+I83</f>
        <v>-10800</v>
      </c>
      <c r="J137" s="76">
        <f>+J81+J82+J83</f>
        <v>-210000</v>
      </c>
      <c r="K137" s="76">
        <f>+K81+K82+K83+K84</f>
        <v>-26400</v>
      </c>
      <c r="L137" s="76">
        <f>+L81+L82+L83+L84</f>
        <v>-5400</v>
      </c>
      <c r="M137" s="76">
        <f>+M81+M82+M83+M84</f>
        <v>-26400</v>
      </c>
      <c r="N137" s="76">
        <f>+N81+N82+N83+N84</f>
        <v>-5400</v>
      </c>
      <c r="O137" s="76">
        <f>+O81+O82+O83+O84</f>
        <v>-5400</v>
      </c>
      <c r="P137" s="76">
        <f>+P81+P82+P83+P84</f>
        <v>-146600</v>
      </c>
      <c r="Q137" s="76">
        <f>+Q81+Q82+Q83+Q84</f>
        <v>-5400</v>
      </c>
      <c r="R137" s="76">
        <f>+R81+R82+R83+R84</f>
        <v>-25400</v>
      </c>
      <c r="S137" s="76">
        <f>+S81+S82+S83+S84</f>
        <v>0</v>
      </c>
      <c r="T137" s="76">
        <f>+T81+T82+T83+T84</f>
        <v>-5400</v>
      </c>
      <c r="U137" s="76">
        <f>+U81+U82+U83+U84</f>
        <v>-31800</v>
      </c>
      <c r="V137" s="76">
        <f>+V81+V82+V83+V84</f>
        <v>-125600</v>
      </c>
      <c r="W137" s="76">
        <f>+W81+W82+W83+W84</f>
        <v>0</v>
      </c>
      <c r="X137" s="76">
        <f>+X81+X82+X83+X84</f>
        <v>0</v>
      </c>
      <c r="Y137" s="76">
        <f>+Y81+Y82+Y83+Y84</f>
        <v>0</v>
      </c>
      <c r="Z137" s="76">
        <f>+Z81+Z82+Z83+Z84</f>
        <v>-16200</v>
      </c>
      <c r="AA137" s="76">
        <f>+AA81+AA82+AA83+AA84</f>
        <v>-26400</v>
      </c>
      <c r="AB137" s="76">
        <f>+AB81+AB82+AB83+AB84</f>
        <v>-120000</v>
      </c>
      <c r="AC137" s="76">
        <f>+AC81+AC82+AC83+AC84</f>
        <v>0</v>
      </c>
      <c r="AD137" s="76">
        <f>+AD81+AD82+AD83+AD84</f>
        <v>-56000</v>
      </c>
      <c r="AE137" s="76">
        <f>+AE81+AE82+AE83</f>
        <v>-48000</v>
      </c>
      <c r="AF137" s="76">
        <f>+AF81+AF82+AF83</f>
        <v>-5400</v>
      </c>
      <c r="AG137" s="76">
        <f>+AG81+AG82+AG83</f>
        <v>-75400</v>
      </c>
      <c r="AH137" s="76">
        <f>+AH81+AH82+AH83</f>
        <v>-26400</v>
      </c>
      <c r="AI137" s="76">
        <f>+AI81+AI82+AI83</f>
        <v>-5400</v>
      </c>
      <c r="AJ137" s="76">
        <f>+AJ81+AJ82+AJ83</f>
        <v>-5400</v>
      </c>
      <c r="AK137" s="76">
        <f>+AK81+AK82+AK83</f>
        <v>-26400</v>
      </c>
      <c r="AL137" s="76">
        <f>+AL81+AL82+AL83</f>
        <v>-5400</v>
      </c>
    </row>
    <row r="138" spans="1:116" s="59" customFormat="1" x14ac:dyDescent="0.4">
      <c r="A138" s="59" t="s">
        <v>19</v>
      </c>
      <c r="B138" s="59" t="e">
        <f t="shared" ref="B138:AD138" si="55">SUM(B130:B137)</f>
        <v>#REF!</v>
      </c>
      <c r="C138" s="59" t="e">
        <f t="shared" si="55"/>
        <v>#REF!</v>
      </c>
      <c r="D138" s="59" t="e">
        <f t="shared" si="55"/>
        <v>#REF!</v>
      </c>
      <c r="E138" s="59" t="e">
        <f t="shared" si="55"/>
        <v>#REF!</v>
      </c>
      <c r="F138" s="59" t="e">
        <f t="shared" si="55"/>
        <v>#REF!</v>
      </c>
      <c r="G138" s="59" t="e">
        <f t="shared" si="55"/>
        <v>#REF!</v>
      </c>
      <c r="H138" s="59" t="e">
        <f t="shared" si="55"/>
        <v>#REF!</v>
      </c>
      <c r="I138" s="59" t="e">
        <f t="shared" si="55"/>
        <v>#REF!</v>
      </c>
      <c r="J138" s="59" t="e">
        <f t="shared" si="55"/>
        <v>#REF!</v>
      </c>
      <c r="K138" s="59" t="e">
        <f t="shared" si="55"/>
        <v>#REF!</v>
      </c>
      <c r="L138" s="59" t="e">
        <f t="shared" si="55"/>
        <v>#REF!</v>
      </c>
      <c r="M138" s="59" t="e">
        <f t="shared" si="55"/>
        <v>#REF!</v>
      </c>
      <c r="N138" s="59" t="e">
        <f t="shared" si="55"/>
        <v>#REF!</v>
      </c>
      <c r="O138" s="59" t="e">
        <f t="shared" si="55"/>
        <v>#REF!</v>
      </c>
      <c r="P138" s="59" t="e">
        <f t="shared" si="55"/>
        <v>#REF!</v>
      </c>
      <c r="Q138" s="59" t="e">
        <f t="shared" si="55"/>
        <v>#REF!</v>
      </c>
      <c r="R138" s="59" t="e">
        <f t="shared" si="55"/>
        <v>#REF!</v>
      </c>
      <c r="S138" s="59" t="e">
        <f t="shared" si="55"/>
        <v>#REF!</v>
      </c>
      <c r="T138" s="59" t="e">
        <f t="shared" si="55"/>
        <v>#REF!</v>
      </c>
      <c r="U138" s="59" t="e">
        <f t="shared" si="55"/>
        <v>#REF!</v>
      </c>
      <c r="V138" s="59" t="e">
        <f t="shared" si="55"/>
        <v>#REF!</v>
      </c>
      <c r="W138" s="59" t="e">
        <f t="shared" si="55"/>
        <v>#REF!</v>
      </c>
      <c r="X138" s="59" t="e">
        <f t="shared" si="55"/>
        <v>#REF!</v>
      </c>
      <c r="Y138" s="59" t="e">
        <f t="shared" si="55"/>
        <v>#REF!</v>
      </c>
      <c r="Z138" s="59" t="e">
        <f t="shared" si="55"/>
        <v>#REF!</v>
      </c>
      <c r="AA138" s="59" t="e">
        <f t="shared" si="55"/>
        <v>#REF!</v>
      </c>
      <c r="AB138" s="59" t="e">
        <f t="shared" si="55"/>
        <v>#REF!</v>
      </c>
      <c r="AC138" s="59" t="e">
        <f t="shared" si="55"/>
        <v>#REF!</v>
      </c>
      <c r="AD138" s="59" t="e">
        <f t="shared" si="55"/>
        <v>#REF!</v>
      </c>
      <c r="AE138" s="59">
        <f>SUM(AE132:AE137)</f>
        <v>-60442.77999999997</v>
      </c>
      <c r="AF138" s="59">
        <f t="shared" ref="AF138:AL138" si="56">SUM(AF132:AF137)</f>
        <v>58713.12000000001</v>
      </c>
      <c r="AG138" s="59">
        <f t="shared" si="56"/>
        <v>-124909.88</v>
      </c>
      <c r="AH138" s="59">
        <f t="shared" si="56"/>
        <v>-131666.24000000002</v>
      </c>
      <c r="AI138" s="59">
        <f t="shared" si="56"/>
        <v>-11580.42000000004</v>
      </c>
      <c r="AJ138" s="59">
        <f t="shared" si="56"/>
        <v>-78175.589999999967</v>
      </c>
      <c r="AK138" s="59">
        <f t="shared" si="56"/>
        <v>7469.2033333333384</v>
      </c>
      <c r="AL138" s="59">
        <f t="shared" si="56"/>
        <v>141606.64999999997</v>
      </c>
    </row>
    <row r="139" spans="1:116" s="76" customFormat="1" x14ac:dyDescent="0.4">
      <c r="A139" s="76" t="s">
        <v>20</v>
      </c>
      <c r="B139" s="76" t="e">
        <f>+B138-B98</f>
        <v>#REF!</v>
      </c>
      <c r="C139" s="76" t="e">
        <f>+C138-C98</f>
        <v>#REF!</v>
      </c>
      <c r="D139" s="76" t="e">
        <f>+D138-D98</f>
        <v>#REF!</v>
      </c>
      <c r="E139" s="76" t="e">
        <f>+E138-E98</f>
        <v>#REF!</v>
      </c>
      <c r="F139" s="76" t="e">
        <f>+F138-F98</f>
        <v>#REF!</v>
      </c>
      <c r="G139" s="76" t="e">
        <f>+G138-G98</f>
        <v>#REF!</v>
      </c>
      <c r="H139" s="76" t="e">
        <f>+H138-H98+H35</f>
        <v>#REF!</v>
      </c>
      <c r="I139" s="76" t="e">
        <f>+I138-I98</f>
        <v>#REF!</v>
      </c>
      <c r="J139" s="76" t="e">
        <f>+J138-J98</f>
        <v>#REF!</v>
      </c>
      <c r="K139" s="76" t="e">
        <f>+K138-K98</f>
        <v>#REF!</v>
      </c>
      <c r="L139" s="76" t="e">
        <f>+L138-L98</f>
        <v>#REF!</v>
      </c>
      <c r="M139" s="76" t="e">
        <f>+M138-M98</f>
        <v>#REF!</v>
      </c>
      <c r="N139" s="76" t="e">
        <f>+N138-N98</f>
        <v>#REF!</v>
      </c>
      <c r="O139" s="76" t="e">
        <f>+O138-O98</f>
        <v>#REF!</v>
      </c>
      <c r="P139" s="76" t="e">
        <f>+P138-P98</f>
        <v>#REF!</v>
      </c>
      <c r="Q139" s="76" t="e">
        <f>+Q138-Q98</f>
        <v>#REF!</v>
      </c>
      <c r="R139" s="76" t="e">
        <f>+R138-R98</f>
        <v>#REF!</v>
      </c>
      <c r="S139" s="76" t="e">
        <f>+S138-S98</f>
        <v>#REF!</v>
      </c>
      <c r="T139" s="76" t="e">
        <f>+T138-T98</f>
        <v>#REF!</v>
      </c>
      <c r="U139" s="76" t="e">
        <f>+U138-U98</f>
        <v>#REF!</v>
      </c>
      <c r="V139" s="76" t="e">
        <f>+V138-V98</f>
        <v>#REF!</v>
      </c>
      <c r="W139" s="76" t="e">
        <f>+W138-W98</f>
        <v>#REF!</v>
      </c>
      <c r="X139" s="76" t="e">
        <f>+X138-X98</f>
        <v>#REF!</v>
      </c>
      <c r="Y139" s="76" t="e">
        <f>+Y138-Y98</f>
        <v>#REF!</v>
      </c>
      <c r="Z139" s="76" t="e">
        <f>+Z138-Z98</f>
        <v>#REF!</v>
      </c>
      <c r="AA139" s="76" t="e">
        <f>+AA138-AA98</f>
        <v>#REF!</v>
      </c>
      <c r="AB139" s="76" t="e">
        <f>+AB138-AB98</f>
        <v>#REF!</v>
      </c>
      <c r="AC139" s="76" t="e">
        <f>+AC138-AC98</f>
        <v>#REF!</v>
      </c>
      <c r="AD139" s="76" t="e">
        <f>+AD138-AD98</f>
        <v>#REF!</v>
      </c>
      <c r="AE139" s="76">
        <f>+AE138-AE98</f>
        <v>0</v>
      </c>
      <c r="AF139" s="76">
        <f>+AF138-AF98</f>
        <v>0</v>
      </c>
      <c r="AG139" s="76">
        <f>+AG138-AG98</f>
        <v>0</v>
      </c>
      <c r="AH139" s="76">
        <f>+AH138-AH98</f>
        <v>0</v>
      </c>
      <c r="AI139" s="76">
        <f>+AI138-AI98</f>
        <v>0</v>
      </c>
      <c r="AJ139" s="76">
        <f>+AJ138-AJ98</f>
        <v>0</v>
      </c>
      <c r="AK139" s="76">
        <f>+AK138-AK98</f>
        <v>0</v>
      </c>
      <c r="AL139" s="76">
        <f>+AL138-AL98</f>
        <v>0</v>
      </c>
    </row>
    <row r="140" spans="1:116" s="76" customFormat="1" x14ac:dyDescent="0.4"/>
    <row r="141" spans="1:116" s="76" customFormat="1" x14ac:dyDescent="0.4"/>
    <row r="142" spans="1:116" s="130" customFormat="1" ht="14.1" x14ac:dyDescent="0.5">
      <c r="A142" s="129" t="s">
        <v>129</v>
      </c>
    </row>
    <row r="143" spans="1:116" s="76" customFormat="1" x14ac:dyDescent="0.4"/>
    <row r="144" spans="1:116" s="76" customFormat="1" x14ac:dyDescent="0.4">
      <c r="A144" s="59" t="s">
        <v>130</v>
      </c>
      <c r="B144" s="59"/>
      <c r="C144" s="59"/>
      <c r="D144" s="59"/>
      <c r="E144" s="59"/>
      <c r="AM144" s="125" t="s">
        <v>45</v>
      </c>
    </row>
    <row r="145" spans="1:39" s="76" customFormat="1" x14ac:dyDescent="0.4">
      <c r="A145" s="76" t="s">
        <v>134</v>
      </c>
      <c r="B145" s="59"/>
      <c r="C145" s="59"/>
      <c r="D145" s="59"/>
      <c r="E145" s="59"/>
      <c r="AF145" s="76">
        <f>+AF107</f>
        <v>169183.84999999974</v>
      </c>
      <c r="AG145" s="76">
        <f>-AG115</f>
        <v>40000</v>
      </c>
    </row>
    <row r="146" spans="1:39" s="76" customFormat="1" x14ac:dyDescent="0.4">
      <c r="A146" s="76" t="s">
        <v>140</v>
      </c>
      <c r="B146" s="59"/>
      <c r="C146" s="59"/>
      <c r="D146" s="59"/>
      <c r="E146" s="59"/>
      <c r="AG146" s="76">
        <f>+AG105-AF105</f>
        <v>24251.559999999939</v>
      </c>
      <c r="AH146" s="76">
        <f>+AH105-AG105</f>
        <v>70414.123333333177</v>
      </c>
      <c r="AI146" s="76">
        <f>+AI105-AH105</f>
        <v>-15157.929999999818</v>
      </c>
      <c r="AJ146" s="76">
        <f>+AJ105-AI105</f>
        <v>-13515.360000000102</v>
      </c>
      <c r="AK146" s="76">
        <f>+AK105-AJ105</f>
        <v>-41219.153333333205</v>
      </c>
      <c r="AL146" s="76">
        <f>+AL105-AK105</f>
        <v>-184853.60000000009</v>
      </c>
    </row>
    <row r="147" spans="1:39" s="76" customFormat="1" ht="15" x14ac:dyDescent="0.5">
      <c r="A147" s="76" t="str">
        <f>+A132</f>
        <v xml:space="preserve">Saldo Gestione Corrente </v>
      </c>
      <c r="B147" s="63"/>
      <c r="C147" s="63"/>
      <c r="D147" s="63"/>
      <c r="E147" s="63"/>
      <c r="F147" s="63"/>
      <c r="G147" s="63"/>
      <c r="H147" s="63"/>
      <c r="AG147" s="76">
        <f t="shared" ref="AG147:AL147" si="57">+AG132</f>
        <v>1418.6199999999972</v>
      </c>
      <c r="AH147" s="76">
        <f t="shared" si="57"/>
        <v>28557.25999999998</v>
      </c>
      <c r="AI147" s="76">
        <f t="shared" si="57"/>
        <v>-1351.9200000000401</v>
      </c>
      <c r="AJ147" s="76">
        <f t="shared" si="57"/>
        <v>-209397.08999999997</v>
      </c>
      <c r="AK147" s="76">
        <f t="shared" si="57"/>
        <v>43795.703333333338</v>
      </c>
      <c r="AL147" s="76">
        <f t="shared" si="57"/>
        <v>156932.14999999997</v>
      </c>
    </row>
    <row r="148" spans="1:39" s="76" customFormat="1" ht="15" x14ac:dyDescent="0.5">
      <c r="A148" s="76" t="s">
        <v>133</v>
      </c>
      <c r="B148" s="63"/>
      <c r="C148" s="63"/>
      <c r="D148" s="63"/>
      <c r="E148" s="63"/>
      <c r="F148" s="63"/>
      <c r="G148" s="63"/>
      <c r="H148" s="63"/>
      <c r="AG148" s="76">
        <f>+AG25</f>
        <v>0</v>
      </c>
      <c r="AH148" s="76">
        <f>+AH25</f>
        <v>0</v>
      </c>
      <c r="AI148" s="76">
        <f>+AI25</f>
        <v>0</v>
      </c>
      <c r="AJ148" s="76">
        <f>+AJ25</f>
        <v>150000</v>
      </c>
      <c r="AK148" s="76">
        <f>+AK25</f>
        <v>0</v>
      </c>
      <c r="AL148" s="76">
        <f>+AL25</f>
        <v>0</v>
      </c>
    </row>
    <row r="149" spans="1:39" s="76" customFormat="1" x14ac:dyDescent="0.4">
      <c r="A149" s="76" t="str">
        <f>+A135</f>
        <v>Gestione Fiscale</v>
      </c>
      <c r="AG149" s="76">
        <f t="shared" ref="AG149:AL151" si="58">+AG135</f>
        <v>-46000</v>
      </c>
      <c r="AH149" s="76">
        <f t="shared" si="58"/>
        <v>-8995</v>
      </c>
      <c r="AI149" s="76">
        <f t="shared" si="58"/>
        <v>0</v>
      </c>
      <c r="AJ149" s="76">
        <f t="shared" si="58"/>
        <v>0</v>
      </c>
      <c r="AK149" s="76">
        <f t="shared" si="58"/>
        <v>0</v>
      </c>
      <c r="AL149" s="76">
        <f t="shared" si="58"/>
        <v>0</v>
      </c>
    </row>
    <row r="150" spans="1:39" s="76" customFormat="1" x14ac:dyDescent="0.4">
      <c r="A150" s="76" t="str">
        <f>+A136</f>
        <v>Saldo movimenti dei Mezzi Propri in conto Capitale</v>
      </c>
      <c r="AG150" s="76">
        <f t="shared" si="58"/>
        <v>0</v>
      </c>
      <c r="AH150" s="76">
        <f t="shared" si="58"/>
        <v>-120000</v>
      </c>
      <c r="AI150" s="76">
        <f t="shared" si="58"/>
        <v>0</v>
      </c>
      <c r="AJ150" s="76">
        <f t="shared" si="58"/>
        <v>0</v>
      </c>
      <c r="AK150" s="76">
        <f t="shared" si="58"/>
        <v>0</v>
      </c>
      <c r="AL150" s="76">
        <f t="shared" si="58"/>
        <v>0</v>
      </c>
    </row>
    <row r="151" spans="1:39" s="76" customFormat="1" x14ac:dyDescent="0.4">
      <c r="A151" s="76" t="str">
        <f>+A137</f>
        <v>Saldo movimenti dei Mezzi Propri in conto Utili</v>
      </c>
      <c r="AG151" s="76">
        <f t="shared" si="58"/>
        <v>-75400</v>
      </c>
      <c r="AH151" s="76">
        <f t="shared" si="58"/>
        <v>-26400</v>
      </c>
      <c r="AI151" s="76">
        <f t="shared" si="58"/>
        <v>-5400</v>
      </c>
      <c r="AJ151" s="76">
        <f t="shared" si="58"/>
        <v>-5400</v>
      </c>
      <c r="AK151" s="76">
        <f t="shared" si="58"/>
        <v>-26400</v>
      </c>
      <c r="AL151" s="76">
        <f t="shared" si="58"/>
        <v>-5400</v>
      </c>
    </row>
    <row r="152" spans="1:39" s="88" customFormat="1" x14ac:dyDescent="0.4">
      <c r="A152" s="88" t="s">
        <v>137</v>
      </c>
      <c r="AF152" s="88">
        <f>+AF145</f>
        <v>169183.84999999974</v>
      </c>
      <c r="AG152" s="88">
        <f t="shared" ref="AG152:AL152" si="59">SUM(AG145:AG151)</f>
        <v>-55729.820000000065</v>
      </c>
      <c r="AH152" s="88">
        <f t="shared" si="59"/>
        <v>-56423.616666666843</v>
      </c>
      <c r="AI152" s="88">
        <f t="shared" si="59"/>
        <v>-21909.84999999986</v>
      </c>
      <c r="AJ152" s="88">
        <f t="shared" si="59"/>
        <v>-78312.45000000007</v>
      </c>
      <c r="AK152" s="88">
        <f t="shared" si="59"/>
        <v>-23823.449999999866</v>
      </c>
      <c r="AL152" s="88">
        <f t="shared" si="59"/>
        <v>-33321.450000000128</v>
      </c>
      <c r="AM152" s="88">
        <f>SUM(AF152:AL152)</f>
        <v>-100336.78666666709</v>
      </c>
    </row>
    <row r="153" spans="1:39" s="76" customFormat="1" x14ac:dyDescent="0.4">
      <c r="A153" s="122"/>
    </row>
    <row r="154" spans="1:39" s="76" customFormat="1" x14ac:dyDescent="0.4">
      <c r="A154" s="124" t="s">
        <v>131</v>
      </c>
    </row>
    <row r="155" spans="1:39" s="76" customFormat="1" x14ac:dyDescent="0.4">
      <c r="A155" s="76" t="s">
        <v>132</v>
      </c>
      <c r="AG155" s="76">
        <f>+AG71</f>
        <v>-4928.5</v>
      </c>
      <c r="AH155" s="76">
        <f>+AH71</f>
        <v>-4828.5</v>
      </c>
      <c r="AI155" s="76">
        <f>+AI71</f>
        <v>-4828.5</v>
      </c>
      <c r="AJ155" s="76">
        <f>+AJ71</f>
        <v>-13378.5</v>
      </c>
      <c r="AK155" s="76">
        <f>+AK71</f>
        <v>-9926.5</v>
      </c>
      <c r="AL155" s="76">
        <f>+AL71</f>
        <v>-9925.5</v>
      </c>
    </row>
    <row r="156" spans="1:39" s="59" customFormat="1" x14ac:dyDescent="0.4">
      <c r="A156" s="88" t="s">
        <v>138</v>
      </c>
      <c r="AG156" s="59">
        <f>SUM(AG155)</f>
        <v>-4928.5</v>
      </c>
      <c r="AH156" s="59">
        <f t="shared" ref="AH156:AL156" si="60">SUM(AH155)</f>
        <v>-4828.5</v>
      </c>
      <c r="AI156" s="59">
        <f t="shared" si="60"/>
        <v>-4828.5</v>
      </c>
      <c r="AJ156" s="59">
        <f t="shared" si="60"/>
        <v>-13378.5</v>
      </c>
      <c r="AK156" s="59">
        <f t="shared" si="60"/>
        <v>-9926.5</v>
      </c>
      <c r="AL156" s="59">
        <f t="shared" si="60"/>
        <v>-9925.5</v>
      </c>
      <c r="AM156" s="59">
        <f>SUM(AG156:AL156)</f>
        <v>-47816</v>
      </c>
    </row>
    <row r="157" spans="1:39" s="59" customFormat="1" x14ac:dyDescent="0.4">
      <c r="A157" s="88"/>
    </row>
    <row r="158" spans="1:39" s="126" customFormat="1" ht="14.1" x14ac:dyDescent="0.5">
      <c r="A158" s="127" t="s">
        <v>136</v>
      </c>
      <c r="AM158" s="128">
        <f>+AM152/-AM156</f>
        <v>-2.0983935642184015</v>
      </c>
    </row>
    <row r="159" spans="1:39" s="76" customFormat="1" x14ac:dyDescent="0.4"/>
    <row r="160" spans="1:39" s="76" customFormat="1" hidden="1" x14ac:dyDescent="0.4"/>
    <row r="161" spans="1:39" s="76" customFormat="1" x14ac:dyDescent="0.4">
      <c r="A161" s="88" t="s">
        <v>139</v>
      </c>
      <c r="AF161" s="76">
        <f>+AF152</f>
        <v>169183.84999999974</v>
      </c>
      <c r="AG161" s="76">
        <f>+AG152+AG156</f>
        <v>-60658.320000000065</v>
      </c>
      <c r="AH161" s="76">
        <f t="shared" ref="AH161:AL161" si="61">+AH152+AH156</f>
        <v>-61252.116666666843</v>
      </c>
      <c r="AI161" s="76">
        <f t="shared" si="61"/>
        <v>-26738.34999999986</v>
      </c>
      <c r="AJ161" s="76">
        <f t="shared" si="61"/>
        <v>-91690.95000000007</v>
      </c>
      <c r="AK161" s="76">
        <f t="shared" si="61"/>
        <v>-33749.949999999866</v>
      </c>
      <c r="AL161" s="76">
        <f t="shared" si="61"/>
        <v>-43246.950000000128</v>
      </c>
      <c r="AM161" s="76">
        <f>SUM(AF161:AL161)</f>
        <v>-148152.78666666709</v>
      </c>
    </row>
    <row r="162" spans="1:39" s="76" customFormat="1" x14ac:dyDescent="0.4"/>
    <row r="163" spans="1:39" s="76" customFormat="1" x14ac:dyDescent="0.4">
      <c r="AM163" s="59">
        <f>+AL107</f>
        <v>-148152.78666666709</v>
      </c>
    </row>
    <row r="164" spans="1:39" s="76" customFormat="1" x14ac:dyDescent="0.4">
      <c r="B164" s="123"/>
      <c r="C164" s="123"/>
      <c r="D164" s="123"/>
      <c r="E164" s="123"/>
      <c r="F164" s="123"/>
      <c r="G164" s="123"/>
      <c r="AL164" s="88" t="s">
        <v>135</v>
      </c>
      <c r="AM164" s="59">
        <f>+AM163-AM161</f>
        <v>0</v>
      </c>
    </row>
    <row r="165" spans="1:39" s="76" customFormat="1" x14ac:dyDescent="0.4"/>
    <row r="166" spans="1:39" s="76" customFormat="1" x14ac:dyDescent="0.4">
      <c r="E166" s="123"/>
      <c r="F166" s="123"/>
      <c r="G166" s="123"/>
    </row>
    <row r="167" spans="1:39" s="76" customFormat="1" x14ac:dyDescent="0.4"/>
    <row r="168" spans="1:39" s="76" customFormat="1" x14ac:dyDescent="0.4"/>
    <row r="169" spans="1:39" s="76" customFormat="1" x14ac:dyDescent="0.4"/>
    <row r="170" spans="1:39" s="76" customFormat="1" x14ac:dyDescent="0.4"/>
    <row r="171" spans="1:39" s="76" customFormat="1" x14ac:dyDescent="0.4"/>
    <row r="172" spans="1:39" s="76" customFormat="1" x14ac:dyDescent="0.4"/>
    <row r="173" spans="1:39" s="76" customFormat="1" x14ac:dyDescent="0.4"/>
    <row r="174" spans="1:39" s="76" customFormat="1" x14ac:dyDescent="0.4"/>
    <row r="175" spans="1:39" s="76" customFormat="1" x14ac:dyDescent="0.4"/>
    <row r="176" spans="1:39" s="76" customFormat="1" x14ac:dyDescent="0.4"/>
    <row r="177" s="76" customFormat="1" x14ac:dyDescent="0.4"/>
    <row r="178" s="76" customFormat="1" x14ac:dyDescent="0.4"/>
    <row r="179" s="76" customFormat="1" x14ac:dyDescent="0.4"/>
    <row r="180" s="76" customFormat="1" x14ac:dyDescent="0.4"/>
    <row r="181" s="76" customFormat="1" x14ac:dyDescent="0.4"/>
    <row r="182" s="76" customFormat="1" x14ac:dyDescent="0.4"/>
    <row r="183" s="76" customFormat="1" x14ac:dyDescent="0.4"/>
    <row r="184" s="76" customFormat="1" x14ac:dyDescent="0.4"/>
    <row r="185" s="76" customFormat="1" x14ac:dyDescent="0.4"/>
    <row r="186" s="76" customFormat="1" x14ac:dyDescent="0.4"/>
    <row r="187" s="76" customFormat="1" x14ac:dyDescent="0.4"/>
    <row r="188" s="76" customFormat="1" x14ac:dyDescent="0.4"/>
    <row r="189" s="76" customFormat="1" x14ac:dyDescent="0.4"/>
    <row r="190" s="76" customFormat="1" x14ac:dyDescent="0.4"/>
    <row r="191" s="76" customFormat="1" x14ac:dyDescent="0.4"/>
    <row r="192" s="76" customFormat="1" x14ac:dyDescent="0.4"/>
    <row r="193" s="76" customFormat="1" x14ac:dyDescent="0.4"/>
    <row r="194" s="76" customFormat="1" x14ac:dyDescent="0.4"/>
    <row r="195" s="76" customFormat="1" x14ac:dyDescent="0.4"/>
    <row r="196" s="76" customFormat="1" x14ac:dyDescent="0.4"/>
    <row r="197" s="76" customFormat="1" x14ac:dyDescent="0.4"/>
    <row r="198" s="76" customFormat="1" x14ac:dyDescent="0.4"/>
    <row r="199" s="76" customFormat="1" x14ac:dyDescent="0.4"/>
    <row r="200" s="76" customFormat="1" x14ac:dyDescent="0.4"/>
    <row r="201" s="76" customFormat="1" x14ac:dyDescent="0.4"/>
    <row r="202" s="76" customFormat="1" x14ac:dyDescent="0.4"/>
    <row r="203" s="76" customFormat="1" x14ac:dyDescent="0.4"/>
    <row r="204" s="76" customFormat="1" x14ac:dyDescent="0.4"/>
    <row r="205" s="76" customFormat="1" x14ac:dyDescent="0.4"/>
    <row r="206" s="76" customFormat="1" x14ac:dyDescent="0.4"/>
    <row r="207" s="76" customFormat="1" x14ac:dyDescent="0.4"/>
    <row r="208" s="76" customFormat="1" x14ac:dyDescent="0.4"/>
    <row r="209" s="76" customFormat="1" x14ac:dyDescent="0.4"/>
    <row r="210" s="76" customFormat="1" x14ac:dyDescent="0.4"/>
    <row r="211" s="76" customFormat="1" x14ac:dyDescent="0.4"/>
    <row r="212" s="76" customFormat="1" x14ac:dyDescent="0.4"/>
    <row r="213" s="76" customFormat="1" x14ac:dyDescent="0.4"/>
  </sheetData>
  <phoneticPr fontId="0" type="noConversion"/>
  <printOptions horizontalCentered="1" verticalCentered="1" gridLines="1"/>
  <pageMargins left="0.11811023622047245" right="0.47244094488188981" top="0.15748031496062992" bottom="0.15748031496062992" header="0.15748031496062992" footer="0.15748031496062992"/>
  <pageSetup paperSize="9" scale="80" orientation="landscape" horizontalDpi="4294967293" verticalDpi="300" r:id="rId1"/>
  <headerFooter alignWithMargins="0">
    <oddHeader>&amp;CCaso M</oddHeader>
    <oddFooter>&amp;RPag. &amp;P di &amp;N</oddFooter>
  </headerFooter>
  <rowBreaks count="3" manualBreakCount="3">
    <brk id="27" max="34" man="1"/>
    <brk id="90" max="34" man="1"/>
    <brk id="128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Dettaglio RIBANov19</vt:lpstr>
      <vt:lpstr>Novembre 19</vt:lpstr>
      <vt:lpstr>'Dettaglio RIBANov19'!Area_stampa</vt:lpstr>
      <vt:lpstr>'Novembre 19'!Area_stampa</vt:lpstr>
    </vt:vector>
  </TitlesOfParts>
  <Company>S.I.C.R.A.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di Manerbio</dc:creator>
  <cp:lastModifiedBy>Ivan Fogliata</cp:lastModifiedBy>
  <cp:lastPrinted>2015-06-22T09:03:40Z</cp:lastPrinted>
  <dcterms:created xsi:type="dcterms:W3CDTF">1999-11-02T14:26:13Z</dcterms:created>
  <dcterms:modified xsi:type="dcterms:W3CDTF">2020-01-18T11:46:03Z</dcterms:modified>
</cp:coreProperties>
</file>