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Il Budget di Cassa\"/>
    </mc:Choice>
  </mc:AlternateContent>
  <xr:revisionPtr revIDLastSave="0" documentId="13_ncr:1_{CE05005F-C90E-4A63-87C9-D5D19368B167}" xr6:coauthVersionLast="45" xr6:coauthVersionMax="45" xr10:uidLastSave="{00000000-0000-0000-0000-000000000000}"/>
  <bookViews>
    <workbookView xWindow="-96" yWindow="-96" windowWidth="23232" windowHeight="12552" tabRatio="757" activeTab="1" xr2:uid="{00000000-000D-0000-FFFF-FFFF00000000}"/>
  </bookViews>
  <sheets>
    <sheet name="Dettaglio RIBANov19" sheetId="96" r:id="rId1"/>
    <sheet name="Novembre 19" sheetId="97" r:id="rId2"/>
  </sheets>
  <definedNames>
    <definedName name="_xlnm.Print_Area" localSheetId="0">'Dettaglio RIBANov19'!$A$1:$AH$26</definedName>
    <definedName name="_xlnm.Print_Area" localSheetId="1">'Novembre 19'!$A$1:$F$139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97" l="1"/>
  <c r="B136" i="97" l="1"/>
  <c r="C136" i="97"/>
  <c r="D136" i="97"/>
  <c r="E136" i="97"/>
  <c r="F136" i="97"/>
  <c r="H136" i="97"/>
  <c r="I136" i="97"/>
  <c r="G136" i="97"/>
  <c r="D145" i="97" l="1"/>
  <c r="E148" i="97" l="1"/>
  <c r="F148" i="97"/>
  <c r="G148" i="97"/>
  <c r="H148" i="97"/>
  <c r="I148" i="97"/>
  <c r="D148" i="97"/>
  <c r="A151" i="97"/>
  <c r="A150" i="97"/>
  <c r="A149" i="97"/>
  <c r="A147" i="97"/>
  <c r="D150" i="97"/>
  <c r="E150" i="97"/>
  <c r="F150" i="97"/>
  <c r="G150" i="97"/>
  <c r="H150" i="97"/>
  <c r="I150" i="97"/>
  <c r="C77" i="97"/>
  <c r="C135" i="97" s="1"/>
  <c r="E77" i="97"/>
  <c r="E135" i="97" s="1"/>
  <c r="E149" i="97" s="1"/>
  <c r="F77" i="97"/>
  <c r="F135" i="97" s="1"/>
  <c r="F149" i="97" s="1"/>
  <c r="G77" i="97"/>
  <c r="G135" i="97" s="1"/>
  <c r="G149" i="97" s="1"/>
  <c r="H77" i="97"/>
  <c r="H135" i="97" s="1"/>
  <c r="H149" i="97" s="1"/>
  <c r="I77" i="97"/>
  <c r="I135" i="97" s="1"/>
  <c r="I149" i="97" s="1"/>
  <c r="C71" i="97"/>
  <c r="C134" i="97" s="1"/>
  <c r="D71" i="97"/>
  <c r="E71" i="97"/>
  <c r="F71" i="97"/>
  <c r="G71" i="97"/>
  <c r="B71" i="97"/>
  <c r="B134" i="97" s="1"/>
  <c r="E134" i="97" l="1"/>
  <c r="E155" i="97"/>
  <c r="E156" i="97" s="1"/>
  <c r="D134" i="97"/>
  <c r="D155" i="97"/>
  <c r="D156" i="97" s="1"/>
  <c r="G134" i="97"/>
  <c r="G155" i="97"/>
  <c r="G156" i="97" s="1"/>
  <c r="F134" i="97"/>
  <c r="F155" i="97"/>
  <c r="F156" i="97" s="1"/>
  <c r="AM204" i="96"/>
  <c r="AN204" i="96"/>
  <c r="AL204" i="96"/>
  <c r="C120" i="97"/>
  <c r="C125" i="97" s="1"/>
  <c r="D120" i="97"/>
  <c r="D125" i="97" s="1"/>
  <c r="E120" i="97"/>
  <c r="E125" i="97" s="1"/>
  <c r="F120" i="97"/>
  <c r="F125" i="97" s="1"/>
  <c r="G120" i="97"/>
  <c r="G125" i="97" s="1"/>
  <c r="H120" i="97"/>
  <c r="H125" i="97" s="1"/>
  <c r="I120" i="97"/>
  <c r="I125" i="97" s="1"/>
  <c r="B120" i="97"/>
  <c r="B125" i="97" s="1"/>
  <c r="C119" i="97"/>
  <c r="D119" i="97"/>
  <c r="E119" i="97"/>
  <c r="F119" i="97"/>
  <c r="G119" i="97"/>
  <c r="H119" i="97"/>
  <c r="I119" i="97"/>
  <c r="B119" i="97"/>
  <c r="I68" i="97"/>
  <c r="I71" i="97" s="1"/>
  <c r="I155" i="97" s="1"/>
  <c r="H68" i="97"/>
  <c r="H71" i="97" s="1"/>
  <c r="H155" i="97" s="1"/>
  <c r="AO223" i="96"/>
  <c r="AP223" i="96"/>
  <c r="AO195" i="96"/>
  <c r="AP195" i="96"/>
  <c r="AO167" i="96"/>
  <c r="AP167" i="96"/>
  <c r="AO139" i="96"/>
  <c r="AP139" i="96"/>
  <c r="AO111" i="96"/>
  <c r="AP111" i="96"/>
  <c r="AP26" i="96"/>
  <c r="AO26" i="96"/>
  <c r="AO54" i="96"/>
  <c r="AP54" i="96"/>
  <c r="AP83" i="96"/>
  <c r="AO83" i="96"/>
  <c r="AM26" i="96"/>
  <c r="AN26" i="96"/>
  <c r="AM29" i="96"/>
  <c r="AN29" i="96"/>
  <c r="AM41" i="96"/>
  <c r="AM45" i="96"/>
  <c r="AM50" i="96"/>
  <c r="AM54" i="96" s="1"/>
  <c r="AN50" i="96"/>
  <c r="AN54" i="96"/>
  <c r="AM58" i="96"/>
  <c r="AM86" i="96" s="1"/>
  <c r="AM114" i="96" s="1"/>
  <c r="AM142" i="96" s="1"/>
  <c r="AM170" i="96" s="1"/>
  <c r="AM198" i="96" s="1"/>
  <c r="AN58" i="96"/>
  <c r="AN86" i="96" s="1"/>
  <c r="AN114" i="96" s="1"/>
  <c r="AN142" i="96" s="1"/>
  <c r="AN170" i="96" s="1"/>
  <c r="AN198" i="96" s="1"/>
  <c r="AM83" i="96"/>
  <c r="AN83" i="96"/>
  <c r="AM111" i="96"/>
  <c r="AN111" i="96"/>
  <c r="AM139" i="96"/>
  <c r="AN139" i="96"/>
  <c r="AM167" i="96"/>
  <c r="AN167" i="96"/>
  <c r="AO29" i="96"/>
  <c r="AO58" i="96"/>
  <c r="AO86" i="96" s="1"/>
  <c r="AO114" i="96" s="1"/>
  <c r="AO142" i="96" s="1"/>
  <c r="AO170" i="96" s="1"/>
  <c r="AO198" i="96" s="1"/>
  <c r="AP58" i="96"/>
  <c r="AP86" i="96" s="1"/>
  <c r="AP114" i="96" s="1"/>
  <c r="AP142" i="96" s="1"/>
  <c r="AP170" i="96" s="1"/>
  <c r="AP198" i="96" s="1"/>
  <c r="AP203" i="96"/>
  <c r="AN201" i="96"/>
  <c r="AO201" i="96"/>
  <c r="AM201" i="96"/>
  <c r="AO202" i="96"/>
  <c r="AL223" i="96"/>
  <c r="I17" i="97" s="1"/>
  <c r="AM195" i="96"/>
  <c r="AN195" i="96"/>
  <c r="AL167" i="96"/>
  <c r="I16" i="97" s="1"/>
  <c r="AK83" i="96"/>
  <c r="AL83" i="96"/>
  <c r="AK111" i="96"/>
  <c r="AL111" i="96"/>
  <c r="G6" i="97"/>
  <c r="I6" i="97"/>
  <c r="G7" i="97"/>
  <c r="H7" i="97"/>
  <c r="I7" i="97"/>
  <c r="G8" i="97"/>
  <c r="H8" i="97"/>
  <c r="I8" i="97"/>
  <c r="G9" i="97"/>
  <c r="I9" i="97"/>
  <c r="G14" i="97"/>
  <c r="H14" i="97"/>
  <c r="I14" i="97"/>
  <c r="G15" i="97"/>
  <c r="H15" i="97"/>
  <c r="I15" i="97"/>
  <c r="G16" i="97"/>
  <c r="H16" i="97"/>
  <c r="G17" i="97"/>
  <c r="H17" i="97"/>
  <c r="G36" i="97"/>
  <c r="G52" i="97" s="1"/>
  <c r="H36" i="97"/>
  <c r="H52" i="97" s="1"/>
  <c r="I36" i="97"/>
  <c r="I52" i="97" s="1"/>
  <c r="G81" i="97"/>
  <c r="G137" i="97" s="1"/>
  <c r="H81" i="97"/>
  <c r="H137" i="97" s="1"/>
  <c r="I81" i="97"/>
  <c r="I137" i="97" s="1"/>
  <c r="G59" i="97"/>
  <c r="H59" i="97"/>
  <c r="I59" i="97"/>
  <c r="G62" i="97"/>
  <c r="H62" i="97"/>
  <c r="I62" i="97"/>
  <c r="G117" i="97"/>
  <c r="H117" i="97"/>
  <c r="I117" i="97"/>
  <c r="E117" i="97"/>
  <c r="F117" i="97"/>
  <c r="D117" i="97"/>
  <c r="AI223" i="96"/>
  <c r="F17" i="97" s="1"/>
  <c r="K223" i="96"/>
  <c r="F223" i="96"/>
  <c r="AK223" i="96"/>
  <c r="AJ223" i="96"/>
  <c r="AH223" i="96"/>
  <c r="E17" i="97"/>
  <c r="AG223" i="96"/>
  <c r="D17" i="97" s="1"/>
  <c r="AF223" i="96"/>
  <c r="AE223" i="96"/>
  <c r="AD223" i="96"/>
  <c r="AC223" i="96"/>
  <c r="AB223" i="96"/>
  <c r="AA223" i="96"/>
  <c r="Z223" i="96"/>
  <c r="Y223" i="96"/>
  <c r="X223" i="96"/>
  <c r="W223" i="96"/>
  <c r="V223" i="96"/>
  <c r="U223" i="96"/>
  <c r="T223" i="96"/>
  <c r="S223" i="96"/>
  <c r="R223" i="96"/>
  <c r="Q223" i="96"/>
  <c r="P223" i="96"/>
  <c r="O223" i="96"/>
  <c r="N223" i="96"/>
  <c r="M223" i="96"/>
  <c r="L223" i="96"/>
  <c r="J223" i="96"/>
  <c r="I223" i="96"/>
  <c r="H223" i="96"/>
  <c r="G223" i="96"/>
  <c r="E223" i="96"/>
  <c r="D223" i="96"/>
  <c r="C223" i="96"/>
  <c r="B223" i="96"/>
  <c r="BC198" i="96"/>
  <c r="BB198" i="96"/>
  <c r="BA198" i="96"/>
  <c r="AZ198" i="96"/>
  <c r="AY198" i="96"/>
  <c r="AX198" i="96"/>
  <c r="AW198" i="96"/>
  <c r="AV198" i="96"/>
  <c r="AU198" i="96"/>
  <c r="AL195" i="96"/>
  <c r="AK195" i="96"/>
  <c r="H9" i="97" s="1"/>
  <c r="AJ195" i="96"/>
  <c r="AI195" i="96"/>
  <c r="F9" i="97"/>
  <c r="AH195" i="96"/>
  <c r="E9" i="97" s="1"/>
  <c r="AG195" i="96"/>
  <c r="D9" i="97" s="1"/>
  <c r="AF195" i="96"/>
  <c r="AE195" i="96"/>
  <c r="AD195" i="96"/>
  <c r="AC195" i="96"/>
  <c r="AB195" i="96"/>
  <c r="AA195" i="96"/>
  <c r="Z195" i="96"/>
  <c r="Y195" i="96"/>
  <c r="X195" i="96"/>
  <c r="W195" i="96"/>
  <c r="V195" i="96"/>
  <c r="U195" i="96"/>
  <c r="T195" i="96"/>
  <c r="S195" i="96"/>
  <c r="R195" i="96"/>
  <c r="Q195" i="96"/>
  <c r="P195" i="96"/>
  <c r="O195" i="96"/>
  <c r="N195" i="96"/>
  <c r="M195" i="96"/>
  <c r="L195" i="96"/>
  <c r="K195" i="96"/>
  <c r="J195" i="96"/>
  <c r="I195" i="96"/>
  <c r="H195" i="96"/>
  <c r="G195" i="96"/>
  <c r="F195" i="96"/>
  <c r="E195" i="96"/>
  <c r="D195" i="96"/>
  <c r="C195" i="96"/>
  <c r="B195" i="96"/>
  <c r="D75" i="97"/>
  <c r="D77" i="97" s="1"/>
  <c r="D135" i="97" s="1"/>
  <c r="D149" i="97" s="1"/>
  <c r="AJ22" i="96"/>
  <c r="AL41" i="96"/>
  <c r="AK41" i="96"/>
  <c r="AL45" i="96"/>
  <c r="AK45" i="96"/>
  <c r="AH23" i="96"/>
  <c r="AK51" i="96"/>
  <c r="AK48" i="96"/>
  <c r="AH20" i="96"/>
  <c r="AG26" i="96"/>
  <c r="D6" i="97" s="1"/>
  <c r="AH26" i="96"/>
  <c r="E6" i="97" s="1"/>
  <c r="AI26" i="96"/>
  <c r="F6" i="97"/>
  <c r="B22" i="97"/>
  <c r="A28" i="97"/>
  <c r="B31" i="97"/>
  <c r="C31" i="97"/>
  <c r="F31" i="97"/>
  <c r="B33" i="97"/>
  <c r="C33" i="97"/>
  <c r="B34" i="97"/>
  <c r="C34" i="97"/>
  <c r="D34" i="97"/>
  <c r="B36" i="97"/>
  <c r="C36" i="97"/>
  <c r="D36" i="97"/>
  <c r="E36" i="97"/>
  <c r="F36" i="97"/>
  <c r="B81" i="97"/>
  <c r="B137" i="97" s="1"/>
  <c r="C81" i="97"/>
  <c r="C137" i="97" s="1"/>
  <c r="D81" i="97"/>
  <c r="D137" i="97" s="1"/>
  <c r="E81" i="97"/>
  <c r="E137" i="97" s="1"/>
  <c r="F81" i="97"/>
  <c r="F137" i="97" s="1"/>
  <c r="C63" i="97"/>
  <c r="B42" i="97"/>
  <c r="C42" i="97"/>
  <c r="D42" i="97"/>
  <c r="E42" i="97"/>
  <c r="B48" i="97"/>
  <c r="C48" i="97"/>
  <c r="D48" i="97"/>
  <c r="B59" i="97"/>
  <c r="C59" i="97"/>
  <c r="D59" i="97"/>
  <c r="E59" i="97"/>
  <c r="F59" i="97"/>
  <c r="B62" i="97"/>
  <c r="C62" i="97"/>
  <c r="D62" i="97"/>
  <c r="E62" i="97"/>
  <c r="F62" i="97"/>
  <c r="B75" i="97"/>
  <c r="B77" i="97" s="1"/>
  <c r="B135" i="97" s="1"/>
  <c r="A91" i="97"/>
  <c r="A109" i="97"/>
  <c r="A110" i="97"/>
  <c r="A111" i="97"/>
  <c r="A112" i="97"/>
  <c r="B117" i="97"/>
  <c r="C117" i="97"/>
  <c r="O5" i="96"/>
  <c r="O26" i="96" s="1"/>
  <c r="P5" i="96"/>
  <c r="P26" i="96" s="1"/>
  <c r="D6" i="96"/>
  <c r="D26" i="96" s="1"/>
  <c r="H6" i="96"/>
  <c r="J6" i="96"/>
  <c r="M6" i="96"/>
  <c r="M26" i="96"/>
  <c r="P6" i="96"/>
  <c r="Q6" i="96"/>
  <c r="Q26" i="96" s="1"/>
  <c r="T6" i="96"/>
  <c r="V6" i="96"/>
  <c r="V26" i="96"/>
  <c r="H7" i="96"/>
  <c r="M7" i="96"/>
  <c r="U8" i="96"/>
  <c r="U26" i="96" s="1"/>
  <c r="C9" i="96"/>
  <c r="D9" i="96"/>
  <c r="J9" i="96"/>
  <c r="M9" i="96"/>
  <c r="AD9" i="96"/>
  <c r="F10" i="96"/>
  <c r="G10" i="96"/>
  <c r="G26" i="96" s="1"/>
  <c r="H10" i="96"/>
  <c r="I10" i="96"/>
  <c r="I26" i="96"/>
  <c r="J10" i="96"/>
  <c r="K10" i="96"/>
  <c r="K26" i="96" s="1"/>
  <c r="AA10" i="96"/>
  <c r="AA26" i="96" s="1"/>
  <c r="AD10" i="96"/>
  <c r="C12" i="96"/>
  <c r="D12" i="96"/>
  <c r="J12" i="96"/>
  <c r="T12" i="96"/>
  <c r="U12" i="96"/>
  <c r="AA12" i="96"/>
  <c r="AB12" i="96"/>
  <c r="AD12" i="96"/>
  <c r="H14" i="96"/>
  <c r="K14" i="96"/>
  <c r="L14" i="96"/>
  <c r="L26" i="96" s="1"/>
  <c r="T14" i="96"/>
  <c r="V14" i="96"/>
  <c r="I15" i="96"/>
  <c r="P15" i="96"/>
  <c r="J16" i="96"/>
  <c r="L44" i="96" s="1"/>
  <c r="M16" i="96"/>
  <c r="P16" i="96"/>
  <c r="AD16" i="96"/>
  <c r="J17" i="96"/>
  <c r="AE22" i="96"/>
  <c r="AE26" i="96" s="1"/>
  <c r="B6" i="97" s="1"/>
  <c r="B102" i="97" s="1"/>
  <c r="B26" i="96"/>
  <c r="C26" i="96"/>
  <c r="E26" i="96"/>
  <c r="F26" i="96"/>
  <c r="N26" i="96"/>
  <c r="R26" i="96"/>
  <c r="S26" i="96"/>
  <c r="W26" i="96"/>
  <c r="X26" i="96"/>
  <c r="Y26" i="96"/>
  <c r="Z26" i="96"/>
  <c r="AB26" i="96"/>
  <c r="AC26" i="96"/>
  <c r="AF26" i="96"/>
  <c r="C6" i="97" s="1"/>
  <c r="AJ26" i="96"/>
  <c r="AK26" i="96"/>
  <c r="AL26" i="96"/>
  <c r="W29" i="96"/>
  <c r="X29" i="96"/>
  <c r="Y29" i="96"/>
  <c r="Z29" i="96"/>
  <c r="Z58" i="96"/>
  <c r="Z86" i="96" s="1"/>
  <c r="Z114" i="96"/>
  <c r="Z142" i="96" s="1"/>
  <c r="Z170" i="96" s="1"/>
  <c r="Z198" i="96" s="1"/>
  <c r="AA29" i="96"/>
  <c r="AB29" i="96"/>
  <c r="AC29" i="96"/>
  <c r="AC58" i="96" s="1"/>
  <c r="AD29" i="96"/>
  <c r="AD58" i="96"/>
  <c r="AD86" i="96" s="1"/>
  <c r="AD114" i="96" s="1"/>
  <c r="AD142" i="96" s="1"/>
  <c r="AD170" i="96" s="1"/>
  <c r="AD198" i="96" s="1"/>
  <c r="AE29" i="96"/>
  <c r="AE58" i="96" s="1"/>
  <c r="AE86" i="96" s="1"/>
  <c r="AE114" i="96" s="1"/>
  <c r="AE142" i="96" s="1"/>
  <c r="AE170" i="96" s="1"/>
  <c r="AE198" i="96" s="1"/>
  <c r="AF29" i="96"/>
  <c r="AG29" i="96"/>
  <c r="AG58" i="96" s="1"/>
  <c r="AH29" i="96"/>
  <c r="AH58" i="96" s="1"/>
  <c r="AH86" i="96" s="1"/>
  <c r="AH114" i="96" s="1"/>
  <c r="AH142" i="96" s="1"/>
  <c r="AH170" i="96"/>
  <c r="AH198" i="96" s="1"/>
  <c r="AI29" i="96"/>
  <c r="AI58" i="96" s="1"/>
  <c r="AI86" i="96" s="1"/>
  <c r="AI114" i="96" s="1"/>
  <c r="AI142" i="96" s="1"/>
  <c r="AJ29" i="96"/>
  <c r="AJ58" i="96" s="1"/>
  <c r="AJ86" i="96" s="1"/>
  <c r="AJ114" i="96" s="1"/>
  <c r="AK29" i="96"/>
  <c r="AL29" i="96"/>
  <c r="AL58" i="96" s="1"/>
  <c r="AL86" i="96" s="1"/>
  <c r="AL114" i="96" s="1"/>
  <c r="AL142" i="96" s="1"/>
  <c r="AL170" i="96"/>
  <c r="AL198" i="96" s="1"/>
  <c r="A30" i="96"/>
  <c r="A59" i="96"/>
  <c r="A31" i="96"/>
  <c r="A32" i="96"/>
  <c r="AB32" i="96"/>
  <c r="AC32" i="96"/>
  <c r="AC54" i="96"/>
  <c r="AE32" i="96"/>
  <c r="AF32" i="96"/>
  <c r="A33" i="96"/>
  <c r="Q33" i="96"/>
  <c r="Q54" i="96" s="1"/>
  <c r="S33" i="96"/>
  <c r="T33" i="96"/>
  <c r="AE33" i="96"/>
  <c r="AG33" i="96"/>
  <c r="AG54" i="96" s="1"/>
  <c r="D14" i="97" s="1"/>
  <c r="AH33" i="96"/>
  <c r="AH54" i="96" s="1"/>
  <c r="E14" i="97" s="1"/>
  <c r="AI33" i="96"/>
  <c r="AJ33" i="96"/>
  <c r="AK33" i="96"/>
  <c r="AK54" i="96" s="1"/>
  <c r="AL33" i="96"/>
  <c r="A34" i="96"/>
  <c r="A63" i="96" s="1"/>
  <c r="G34" i="96"/>
  <c r="I34" i="96"/>
  <c r="I54" i="96" s="1"/>
  <c r="J34" i="96"/>
  <c r="K34" i="96"/>
  <c r="L34" i="96"/>
  <c r="L54" i="96" s="1"/>
  <c r="M34" i="96"/>
  <c r="N34" i="96"/>
  <c r="O34" i="96"/>
  <c r="P34" i="96"/>
  <c r="S34" i="96"/>
  <c r="T34" i="96"/>
  <c r="V34" i="96"/>
  <c r="V54" i="96"/>
  <c r="X34" i="96"/>
  <c r="Y34" i="96"/>
  <c r="A35" i="96"/>
  <c r="O35" i="96"/>
  <c r="A36" i="96"/>
  <c r="A65" i="96" s="1"/>
  <c r="A93" i="96" s="1"/>
  <c r="S36" i="96"/>
  <c r="Y36" i="96"/>
  <c r="Y54" i="96" s="1"/>
  <c r="A37" i="96"/>
  <c r="D37" i="96"/>
  <c r="G37" i="96"/>
  <c r="G54" i="96" s="1"/>
  <c r="M37" i="96"/>
  <c r="P37" i="96"/>
  <c r="P54" i="96"/>
  <c r="Q37" i="96"/>
  <c r="A38" i="96"/>
  <c r="G38" i="96"/>
  <c r="I38" i="96"/>
  <c r="J38" i="96"/>
  <c r="J54" i="96" s="1"/>
  <c r="K38" i="96"/>
  <c r="N38" i="96"/>
  <c r="A39" i="96"/>
  <c r="A68" i="96" s="1"/>
  <c r="A96" i="96" s="1"/>
  <c r="A124" i="96" s="1"/>
  <c r="K39" i="96"/>
  <c r="M39" i="96"/>
  <c r="A40" i="96"/>
  <c r="A69" i="96" s="1"/>
  <c r="A97" i="96" s="1"/>
  <c r="A125" i="96" s="1"/>
  <c r="A153" i="96" s="1"/>
  <c r="A181" i="96" s="1"/>
  <c r="A209" i="96" s="1"/>
  <c r="G40" i="96"/>
  <c r="X40" i="96"/>
  <c r="X54" i="96" s="1"/>
  <c r="AE40" i="96"/>
  <c r="AE54" i="96" s="1"/>
  <c r="B14" i="97" s="1"/>
  <c r="AF40" i="96"/>
  <c r="AH40" i="96"/>
  <c r="AI40" i="96"/>
  <c r="AI54" i="96" s="1"/>
  <c r="F14" i="97" s="1"/>
  <c r="A41" i="96"/>
  <c r="A42" i="96"/>
  <c r="A71" i="96" s="1"/>
  <c r="A99" i="96" s="1"/>
  <c r="A127" i="96" s="1"/>
  <c r="A155" i="96" s="1"/>
  <c r="A183" i="96" s="1"/>
  <c r="A211" i="96" s="1"/>
  <c r="C42" i="96"/>
  <c r="D42" i="96"/>
  <c r="J42" i="96"/>
  <c r="V42" i="96"/>
  <c r="A43" i="96"/>
  <c r="A72" i="96"/>
  <c r="A100" i="96" s="1"/>
  <c r="A128" i="96" s="1"/>
  <c r="A156" i="96" s="1"/>
  <c r="K43" i="96"/>
  <c r="R43" i="96"/>
  <c r="R54" i="96" s="1"/>
  <c r="A44" i="96"/>
  <c r="P44" i="96"/>
  <c r="Q44" i="96"/>
  <c r="A45" i="96"/>
  <c r="O45" i="96"/>
  <c r="A46" i="96"/>
  <c r="K46" i="96"/>
  <c r="O46" i="96"/>
  <c r="AE46" i="96"/>
  <c r="A47" i="96"/>
  <c r="A76" i="96"/>
  <c r="A104" i="96" s="1"/>
  <c r="A132" i="96"/>
  <c r="A160" i="96" s="1"/>
  <c r="A188" i="96" s="1"/>
  <c r="A216" i="96" s="1"/>
  <c r="A48" i="96"/>
  <c r="AJ48" i="96"/>
  <c r="A49" i="96"/>
  <c r="A50" i="96"/>
  <c r="A79" i="96"/>
  <c r="A107" i="96" s="1"/>
  <c r="A135" i="96" s="1"/>
  <c r="A163" i="96" s="1"/>
  <c r="A191" i="96" s="1"/>
  <c r="A219" i="96" s="1"/>
  <c r="AF50" i="96"/>
  <c r="AG50" i="96"/>
  <c r="A51" i="96"/>
  <c r="A80" i="96" s="1"/>
  <c r="A108" i="96" s="1"/>
  <c r="A136" i="96" s="1"/>
  <c r="A164" i="96" s="1"/>
  <c r="A192" i="96" s="1"/>
  <c r="A220" i="96" s="1"/>
  <c r="A52" i="96"/>
  <c r="A81" i="96" s="1"/>
  <c r="A109" i="96" s="1"/>
  <c r="A137" i="96" s="1"/>
  <c r="A165" i="96" s="1"/>
  <c r="A53" i="96"/>
  <c r="B54" i="96"/>
  <c r="C54" i="96"/>
  <c r="D54" i="96"/>
  <c r="E54" i="96"/>
  <c r="F54" i="96"/>
  <c r="H54" i="96"/>
  <c r="K54" i="96"/>
  <c r="S54" i="96"/>
  <c r="T54" i="96"/>
  <c r="U54" i="96"/>
  <c r="W54" i="96"/>
  <c r="Z54" i="96"/>
  <c r="AA54" i="96"/>
  <c r="AB54" i="96"/>
  <c r="AD54" i="96"/>
  <c r="AJ54" i="96"/>
  <c r="W58" i="96"/>
  <c r="X58" i="96"/>
  <c r="X86" i="96" s="1"/>
  <c r="X114" i="96" s="1"/>
  <c r="X142" i="96" s="1"/>
  <c r="X170" i="96" s="1"/>
  <c r="X198" i="96" s="1"/>
  <c r="Y58" i="96"/>
  <c r="Y86" i="96" s="1"/>
  <c r="Y114" i="96" s="1"/>
  <c r="Y142" i="96" s="1"/>
  <c r="Y170" i="96" s="1"/>
  <c r="Y198" i="96" s="1"/>
  <c r="AA58" i="96"/>
  <c r="AB58" i="96"/>
  <c r="AB86" i="96" s="1"/>
  <c r="AB114" i="96" s="1"/>
  <c r="AB142" i="96" s="1"/>
  <c r="AF58" i="96"/>
  <c r="AF86" i="96"/>
  <c r="AF114" i="96" s="1"/>
  <c r="AF142" i="96" s="1"/>
  <c r="AK58" i="96"/>
  <c r="AQ58" i="96"/>
  <c r="AR58" i="96"/>
  <c r="AS58" i="96"/>
  <c r="A60" i="96"/>
  <c r="A61" i="96"/>
  <c r="A89" i="96" s="1"/>
  <c r="AB61" i="96"/>
  <c r="AC61" i="96"/>
  <c r="AC83" i="96" s="1"/>
  <c r="A62" i="96"/>
  <c r="A90" i="96" s="1"/>
  <c r="A91" i="96"/>
  <c r="A119" i="96" s="1"/>
  <c r="A147" i="96" s="1"/>
  <c r="A175" i="96" s="1"/>
  <c r="A203" i="96" s="1"/>
  <c r="X63" i="96"/>
  <c r="A64" i="96"/>
  <c r="A92" i="96" s="1"/>
  <c r="A120" i="96" s="1"/>
  <c r="A148" i="96" s="1"/>
  <c r="A176" i="96" s="1"/>
  <c r="A204" i="96" s="1"/>
  <c r="A66" i="96"/>
  <c r="A94" i="96" s="1"/>
  <c r="A122" i="96" s="1"/>
  <c r="A150" i="96" s="1"/>
  <c r="A178" i="96" s="1"/>
  <c r="A206" i="96" s="1"/>
  <c r="C66" i="96"/>
  <c r="C83" i="96" s="1"/>
  <c r="X66" i="96"/>
  <c r="X83" i="96"/>
  <c r="A67" i="96"/>
  <c r="J67" i="96"/>
  <c r="J83" i="96"/>
  <c r="C68" i="96"/>
  <c r="I68" i="96"/>
  <c r="F69" i="96"/>
  <c r="F83" i="96" s="1"/>
  <c r="X69" i="96"/>
  <c r="Y69" i="96"/>
  <c r="AA69" i="96"/>
  <c r="AA83" i="96" s="1"/>
  <c r="AC69" i="96"/>
  <c r="AE69" i="96"/>
  <c r="AE83" i="96"/>
  <c r="B7" i="97" s="1"/>
  <c r="A70" i="96"/>
  <c r="A73" i="96"/>
  <c r="I73" i="96"/>
  <c r="A74" i="96"/>
  <c r="A102" i="96" s="1"/>
  <c r="A130" i="96" s="1"/>
  <c r="A158" i="96" s="1"/>
  <c r="A75" i="96"/>
  <c r="A103" i="96" s="1"/>
  <c r="A131" i="96" s="1"/>
  <c r="A159" i="96" s="1"/>
  <c r="A77" i="96"/>
  <c r="A78" i="96"/>
  <c r="A106" i="96" s="1"/>
  <c r="A134" i="96" s="1"/>
  <c r="A162" i="96" s="1"/>
  <c r="A190" i="96" s="1"/>
  <c r="A218" i="96" s="1"/>
  <c r="AC79" i="96"/>
  <c r="AF79" i="96"/>
  <c r="A82" i="96"/>
  <c r="A110" i="96" s="1"/>
  <c r="A138" i="96" s="1"/>
  <c r="B83" i="96"/>
  <c r="D83" i="96"/>
  <c r="E83" i="96"/>
  <c r="G83" i="96"/>
  <c r="H83" i="96"/>
  <c r="I83" i="96"/>
  <c r="K83" i="96"/>
  <c r="L83" i="96"/>
  <c r="M83" i="96"/>
  <c r="N83" i="96"/>
  <c r="O83" i="96"/>
  <c r="P83" i="96"/>
  <c r="Q83" i="96"/>
  <c r="R83" i="96"/>
  <c r="S83" i="96"/>
  <c r="T83" i="96"/>
  <c r="U83" i="96"/>
  <c r="V83" i="96"/>
  <c r="W83" i="96"/>
  <c r="Y83" i="96"/>
  <c r="Z83" i="96"/>
  <c r="AB83" i="96"/>
  <c r="AD83" i="96"/>
  <c r="AF83" i="96"/>
  <c r="C7" i="97" s="1"/>
  <c r="AG83" i="96"/>
  <c r="D7" i="97" s="1"/>
  <c r="AH83" i="96"/>
  <c r="E7" i="97"/>
  <c r="AI83" i="96"/>
  <c r="F7" i="97"/>
  <c r="AJ83" i="96"/>
  <c r="W86" i="96"/>
  <c r="W114" i="96"/>
  <c r="W142" i="96" s="1"/>
  <c r="W170" i="96" s="1"/>
  <c r="AA86" i="96"/>
  <c r="AA114" i="96" s="1"/>
  <c r="AA142" i="96" s="1"/>
  <c r="AA170" i="96" s="1"/>
  <c r="AC86" i="96"/>
  <c r="AC114" i="96" s="1"/>
  <c r="AC142" i="96" s="1"/>
  <c r="AG86" i="96"/>
  <c r="AG114" i="96" s="1"/>
  <c r="AG142" i="96" s="1"/>
  <c r="AG170" i="96" s="1"/>
  <c r="AG198" i="96" s="1"/>
  <c r="AK86" i="96"/>
  <c r="AQ86" i="96"/>
  <c r="AQ114" i="96" s="1"/>
  <c r="AQ142" i="96" s="1"/>
  <c r="AQ170" i="96" s="1"/>
  <c r="AQ198" i="96" s="1"/>
  <c r="A87" i="96"/>
  <c r="A88" i="96"/>
  <c r="A116" i="96" s="1"/>
  <c r="A144" i="96" s="1"/>
  <c r="W90" i="96"/>
  <c r="AB90" i="96"/>
  <c r="AB111" i="96" s="1"/>
  <c r="F91" i="96"/>
  <c r="F111" i="96" s="1"/>
  <c r="AA91" i="96"/>
  <c r="F94" i="96"/>
  <c r="X94" i="96"/>
  <c r="X111" i="96"/>
  <c r="AB94" i="96"/>
  <c r="A95" i="96"/>
  <c r="A123" i="96" s="1"/>
  <c r="A151" i="96" s="1"/>
  <c r="K95" i="96"/>
  <c r="M95" i="96"/>
  <c r="M111" i="96"/>
  <c r="F96" i="96"/>
  <c r="F97" i="96"/>
  <c r="T97" i="96"/>
  <c r="U97" i="96"/>
  <c r="U111" i="96"/>
  <c r="W97" i="96"/>
  <c r="AA97" i="96"/>
  <c r="AA111" i="96" s="1"/>
  <c r="AC97" i="96"/>
  <c r="AD97" i="96"/>
  <c r="AD111" i="96" s="1"/>
  <c r="AE97" i="96"/>
  <c r="A98" i="96"/>
  <c r="S99" i="96"/>
  <c r="S111" i="96" s="1"/>
  <c r="Z99" i="96"/>
  <c r="A184" i="96"/>
  <c r="A212" i="96" s="1"/>
  <c r="A101" i="96"/>
  <c r="A129" i="96" s="1"/>
  <c r="A157" i="96" s="1"/>
  <c r="A185" i="96" s="1"/>
  <c r="A105" i="96"/>
  <c r="B111" i="96"/>
  <c r="C111" i="96"/>
  <c r="D111" i="96"/>
  <c r="E111" i="96"/>
  <c r="G111" i="96"/>
  <c r="H111" i="96"/>
  <c r="I111" i="96"/>
  <c r="J111" i="96"/>
  <c r="K111" i="96"/>
  <c r="L111" i="96"/>
  <c r="N111" i="96"/>
  <c r="O111" i="96"/>
  <c r="P111" i="96"/>
  <c r="Q111" i="96"/>
  <c r="R111" i="96"/>
  <c r="T111" i="96"/>
  <c r="V111" i="96"/>
  <c r="W111" i="96"/>
  <c r="Y111" i="96"/>
  <c r="Z111" i="96"/>
  <c r="AC111" i="96"/>
  <c r="AG111" i="96"/>
  <c r="D15" i="97"/>
  <c r="AH111" i="96"/>
  <c r="E15" i="97" s="1"/>
  <c r="AI111" i="96"/>
  <c r="F15" i="97" s="1"/>
  <c r="AJ111" i="96"/>
  <c r="AI170" i="96"/>
  <c r="AI198" i="96" s="1"/>
  <c r="AK114" i="96"/>
  <c r="AR114" i="96"/>
  <c r="AR142" i="96" s="1"/>
  <c r="AR170" i="96" s="1"/>
  <c r="AR198" i="96" s="1"/>
  <c r="AS114" i="96"/>
  <c r="AT114" i="96"/>
  <c r="A115" i="96"/>
  <c r="A143" i="96" s="1"/>
  <c r="A171" i="96" s="1"/>
  <c r="A199" i="96" s="1"/>
  <c r="A117" i="96"/>
  <c r="A145" i="96" s="1"/>
  <c r="A118" i="96"/>
  <c r="A146" i="96" s="1"/>
  <c r="A174" i="96" s="1"/>
  <c r="A202" i="96" s="1"/>
  <c r="AF119" i="96"/>
  <c r="A121" i="96"/>
  <c r="Y125" i="96"/>
  <c r="Y139" i="96" s="1"/>
  <c r="AB125" i="96"/>
  <c r="AD125" i="96"/>
  <c r="AF125" i="96"/>
  <c r="A126" i="96"/>
  <c r="AF129" i="96"/>
  <c r="A133" i="96"/>
  <c r="A161" i="96" s="1"/>
  <c r="AF133" i="96"/>
  <c r="B139" i="96"/>
  <c r="C139" i="96"/>
  <c r="D139" i="96"/>
  <c r="E139" i="96"/>
  <c r="F139" i="96"/>
  <c r="G139" i="96"/>
  <c r="H139" i="96"/>
  <c r="I139" i="96"/>
  <c r="J139" i="96"/>
  <c r="K139" i="96"/>
  <c r="L139" i="96"/>
  <c r="M139" i="96"/>
  <c r="N139" i="96"/>
  <c r="O139" i="96"/>
  <c r="P139" i="96"/>
  <c r="Q139" i="96"/>
  <c r="R139" i="96"/>
  <c r="S139" i="96"/>
  <c r="T139" i="96"/>
  <c r="U139" i="96"/>
  <c r="V139" i="96"/>
  <c r="W139" i="96"/>
  <c r="X139" i="96"/>
  <c r="Z139" i="96"/>
  <c r="AA139" i="96"/>
  <c r="AC139" i="96"/>
  <c r="AD139" i="96"/>
  <c r="AE139" i="96"/>
  <c r="B8" i="97"/>
  <c r="AG139" i="96"/>
  <c r="D8" i="97" s="1"/>
  <c r="AH139" i="96"/>
  <c r="E8" i="97" s="1"/>
  <c r="AI139" i="96"/>
  <c r="F8" i="97"/>
  <c r="AJ139" i="96"/>
  <c r="AK139" i="96"/>
  <c r="AL139" i="96"/>
  <c r="W198" i="96"/>
  <c r="AA198" i="96"/>
  <c r="AB170" i="96"/>
  <c r="AB198" i="96"/>
  <c r="AC170" i="96"/>
  <c r="AC198" i="96" s="1"/>
  <c r="AF170" i="96"/>
  <c r="AF198" i="96" s="1"/>
  <c r="AJ142" i="96"/>
  <c r="AJ170" i="96" s="1"/>
  <c r="AJ198" i="96" s="1"/>
  <c r="AK142" i="96"/>
  <c r="AK170" i="96" s="1"/>
  <c r="AK198" i="96" s="1"/>
  <c r="AS142" i="96"/>
  <c r="AS170" i="96"/>
  <c r="AS198" i="96" s="1"/>
  <c r="AT142" i="96"/>
  <c r="AT170" i="96" s="1"/>
  <c r="AT198" i="96" s="1"/>
  <c r="AU142" i="96"/>
  <c r="AV142" i="96"/>
  <c r="AW142" i="96"/>
  <c r="AX142" i="96"/>
  <c r="AY142" i="96"/>
  <c r="AZ142" i="96"/>
  <c r="BA142" i="96"/>
  <c r="BB142" i="96"/>
  <c r="BC142" i="96"/>
  <c r="A172" i="96"/>
  <c r="A200" i="96" s="1"/>
  <c r="A173" i="96"/>
  <c r="A201" i="96" s="1"/>
  <c r="AC146" i="96"/>
  <c r="A149" i="96"/>
  <c r="A177" i="96" s="1"/>
  <c r="A205" i="96"/>
  <c r="AB149" i="96"/>
  <c r="A179" i="96"/>
  <c r="A207" i="96" s="1"/>
  <c r="A152" i="96"/>
  <c r="A180" i="96"/>
  <c r="A208" i="96" s="1"/>
  <c r="V152" i="96"/>
  <c r="AH153" i="96"/>
  <c r="AH167" i="96"/>
  <c r="E16" i="97" s="1"/>
  <c r="A154" i="96"/>
  <c r="A182" i="96"/>
  <c r="A210" i="96" s="1"/>
  <c r="AA156" i="96"/>
  <c r="A213" i="96"/>
  <c r="A186" i="96"/>
  <c r="A214" i="96"/>
  <c r="A187" i="96"/>
  <c r="A215" i="96" s="1"/>
  <c r="A189" i="96"/>
  <c r="A217" i="96" s="1"/>
  <c r="AA161" i="96"/>
  <c r="AB161" i="96"/>
  <c r="A193" i="96"/>
  <c r="A221" i="96" s="1"/>
  <c r="AE165" i="96"/>
  <c r="A166" i="96"/>
  <c r="A194" i="96" s="1"/>
  <c r="A222" i="96"/>
  <c r="B167" i="96"/>
  <c r="C167" i="96"/>
  <c r="D167" i="96"/>
  <c r="E167" i="96"/>
  <c r="F167" i="96"/>
  <c r="G167" i="96"/>
  <c r="H167" i="96"/>
  <c r="I167" i="96"/>
  <c r="J167" i="96"/>
  <c r="K167" i="96"/>
  <c r="L167" i="96"/>
  <c r="M167" i="96"/>
  <c r="N167" i="96"/>
  <c r="O167" i="96"/>
  <c r="P167" i="96"/>
  <c r="Q167" i="96"/>
  <c r="R167" i="96"/>
  <c r="S167" i="96"/>
  <c r="T167" i="96"/>
  <c r="U167" i="96"/>
  <c r="V167" i="96"/>
  <c r="W167" i="96"/>
  <c r="X167" i="96"/>
  <c r="Y167" i="96"/>
  <c r="Z167" i="96"/>
  <c r="AA167" i="96"/>
  <c r="AD167" i="96"/>
  <c r="AI167" i="96"/>
  <c r="F16" i="97" s="1"/>
  <c r="AJ167" i="96"/>
  <c r="AK167" i="96"/>
  <c r="AL50" i="96"/>
  <c r="AL54" i="96"/>
  <c r="AC153" i="96"/>
  <c r="AC167" i="96" s="1"/>
  <c r="AB153" i="96"/>
  <c r="AB167" i="96"/>
  <c r="M44" i="96"/>
  <c r="M54" i="96"/>
  <c r="N44" i="96"/>
  <c r="T26" i="96"/>
  <c r="AD26" i="96"/>
  <c r="AF89" i="96"/>
  <c r="AF111" i="96" s="1"/>
  <c r="C15" i="97" s="1"/>
  <c r="N46" i="96"/>
  <c r="N54" i="96"/>
  <c r="G65" i="97" l="1"/>
  <c r="G131" i="97" s="1"/>
  <c r="B65" i="97"/>
  <c r="B131" i="97" s="1"/>
  <c r="B52" i="97"/>
  <c r="F52" i="97"/>
  <c r="I65" i="97"/>
  <c r="I131" i="97" s="1"/>
  <c r="E65" i="97"/>
  <c r="E131" i="97" s="1"/>
  <c r="H65" i="97"/>
  <c r="H131" i="97" s="1"/>
  <c r="D86" i="97"/>
  <c r="D151" i="97"/>
  <c r="I86" i="97"/>
  <c r="I151" i="97"/>
  <c r="E151" i="97"/>
  <c r="E86" i="97"/>
  <c r="C86" i="97"/>
  <c r="E52" i="97"/>
  <c r="D52" i="97"/>
  <c r="H86" i="97"/>
  <c r="H151" i="97"/>
  <c r="B86" i="97"/>
  <c r="G86" i="97"/>
  <c r="G151" i="97"/>
  <c r="I134" i="97"/>
  <c r="I156" i="97"/>
  <c r="F65" i="97"/>
  <c r="F131" i="97" s="1"/>
  <c r="D65" i="97"/>
  <c r="D131" i="97" s="1"/>
  <c r="C52" i="97"/>
  <c r="C65" i="97"/>
  <c r="C131" i="97" s="1"/>
  <c r="F151" i="97"/>
  <c r="F86" i="97"/>
  <c r="H134" i="97"/>
  <c r="H156" i="97"/>
  <c r="E11" i="97"/>
  <c r="D11" i="97"/>
  <c r="F11" i="97"/>
  <c r="D104" i="97"/>
  <c r="B11" i="97"/>
  <c r="F19" i="97"/>
  <c r="E19" i="97"/>
  <c r="H19" i="97"/>
  <c r="H130" i="97" s="1"/>
  <c r="AN223" i="96"/>
  <c r="AM223" i="96"/>
  <c r="I19" i="97"/>
  <c r="I130" i="97" s="1"/>
  <c r="I11" i="97"/>
  <c r="H11" i="97"/>
  <c r="G11" i="97"/>
  <c r="G19" i="97"/>
  <c r="G130" i="97" s="1"/>
  <c r="AB139" i="96"/>
  <c r="AE153" i="96"/>
  <c r="AE167" i="96" s="1"/>
  <c r="B16" i="97" s="1"/>
  <c r="B103" i="97" s="1"/>
  <c r="AF153" i="96"/>
  <c r="AF167" i="96" s="1"/>
  <c r="C16" i="97" s="1"/>
  <c r="AG153" i="96"/>
  <c r="AG167" i="96" s="1"/>
  <c r="D16" i="97" s="1"/>
  <c r="D19" i="97" s="1"/>
  <c r="H26" i="96"/>
  <c r="AF54" i="96"/>
  <c r="C14" i="97" s="1"/>
  <c r="J26" i="96"/>
  <c r="AF139" i="96"/>
  <c r="C8" i="97" s="1"/>
  <c r="C11" i="97" s="1"/>
  <c r="O54" i="96"/>
  <c r="AE89" i="96"/>
  <c r="AE111" i="96" s="1"/>
  <c r="B15" i="97" s="1"/>
  <c r="B101" i="97" s="1"/>
  <c r="D130" i="97" l="1"/>
  <c r="D132" i="97" s="1"/>
  <c r="G132" i="97"/>
  <c r="I132" i="97"/>
  <c r="B88" i="97"/>
  <c r="G88" i="97"/>
  <c r="F130" i="97"/>
  <c r="F132" i="97" s="1"/>
  <c r="F147" i="97" s="1"/>
  <c r="I88" i="97"/>
  <c r="H132" i="97"/>
  <c r="H88" i="97"/>
  <c r="E130" i="97"/>
  <c r="E132" i="97" s="1"/>
  <c r="F88" i="97"/>
  <c r="C88" i="97"/>
  <c r="E88" i="97"/>
  <c r="J156" i="97"/>
  <c r="D88" i="97"/>
  <c r="I27" i="97"/>
  <c r="F27" i="97"/>
  <c r="E27" i="97"/>
  <c r="E104" i="97"/>
  <c r="B19" i="97"/>
  <c r="B130" i="97" s="1"/>
  <c r="C19" i="97"/>
  <c r="C130" i="97" s="1"/>
  <c r="C132" i="97" s="1"/>
  <c r="C138" i="97" s="1"/>
  <c r="H27" i="97"/>
  <c r="G27" i="97"/>
  <c r="D27" i="97"/>
  <c r="I138" i="97" l="1"/>
  <c r="I147" i="97"/>
  <c r="G138" i="97"/>
  <c r="G147" i="97"/>
  <c r="H138" i="97"/>
  <c r="H147" i="97"/>
  <c r="E138" i="97"/>
  <c r="E147" i="97"/>
  <c r="D138" i="97"/>
  <c r="D147" i="97"/>
  <c r="I98" i="97"/>
  <c r="F138" i="97"/>
  <c r="H98" i="97"/>
  <c r="F90" i="97"/>
  <c r="D98" i="97"/>
  <c r="E90" i="97"/>
  <c r="I90" i="97"/>
  <c r="F98" i="97"/>
  <c r="B132" i="97"/>
  <c r="B138" i="97" s="1"/>
  <c r="B27" i="97"/>
  <c r="B98" i="97" s="1"/>
  <c r="F104" i="97"/>
  <c r="G104" i="97" s="1"/>
  <c r="H104" i="97" s="1"/>
  <c r="C27" i="97"/>
  <c r="C98" i="97" s="1"/>
  <c r="E98" i="97"/>
  <c r="H90" i="97"/>
  <c r="G98" i="97"/>
  <c r="G90" i="97"/>
  <c r="D90" i="97"/>
  <c r="H139" i="97" l="1"/>
  <c r="E139" i="97"/>
  <c r="I139" i="97"/>
  <c r="D139" i="97"/>
  <c r="F139" i="97"/>
  <c r="C139" i="97"/>
  <c r="C90" i="97"/>
  <c r="I104" i="97"/>
  <c r="G139" i="97"/>
  <c r="B90" i="97" l="1"/>
  <c r="B139" i="97"/>
  <c r="C103" i="97" l="1"/>
  <c r="D103" i="97" l="1"/>
  <c r="E103" i="97" l="1"/>
  <c r="F103" i="97" l="1"/>
  <c r="G103" i="97" l="1"/>
  <c r="H103" i="97" l="1"/>
  <c r="I103" i="97" l="1"/>
  <c r="C102" i="97" l="1"/>
  <c r="D102" i="97" l="1"/>
  <c r="E102" i="97" l="1"/>
  <c r="F102" i="97" l="1"/>
  <c r="G102" i="97" l="1"/>
  <c r="H102" i="97" l="1"/>
  <c r="I102" i="97" l="1"/>
  <c r="C101" i="97" l="1"/>
  <c r="B105" i="97"/>
  <c r="B124" i="97" s="1"/>
  <c r="D101" i="97" l="1"/>
  <c r="C105" i="97"/>
  <c r="C124" i="97" s="1"/>
  <c r="B99" i="97"/>
  <c r="B126" i="97"/>
  <c r="B127" i="97"/>
  <c r="C127" i="97" l="1"/>
  <c r="C126" i="97"/>
  <c r="D105" i="97"/>
  <c r="E101" i="97"/>
  <c r="C93" i="97"/>
  <c r="B122" i="97"/>
  <c r="B106" i="97"/>
  <c r="B107" i="97"/>
  <c r="D146" i="97" l="1"/>
  <c r="D152" i="97" s="1"/>
  <c r="D161" i="97" s="1"/>
  <c r="D124" i="97"/>
  <c r="C96" i="97"/>
  <c r="C99" i="97"/>
  <c r="E105" i="97"/>
  <c r="F101" i="97"/>
  <c r="G101" i="97" l="1"/>
  <c r="F105" i="97"/>
  <c r="D127" i="97"/>
  <c r="D126" i="97"/>
  <c r="E146" i="97"/>
  <c r="E152" i="97" s="1"/>
  <c r="E161" i="97" s="1"/>
  <c r="E124" i="97"/>
  <c r="D93" i="97"/>
  <c r="C106" i="97"/>
  <c r="C122" i="97"/>
  <c r="C107" i="97"/>
  <c r="C145" i="97" s="1"/>
  <c r="C152" i="97" s="1"/>
  <c r="D97" i="97" l="1"/>
  <c r="D99" i="97"/>
  <c r="E126" i="97"/>
  <c r="E127" i="97"/>
  <c r="C161" i="97"/>
  <c r="F146" i="97"/>
  <c r="F152" i="97" s="1"/>
  <c r="F161" i="97" s="1"/>
  <c r="F124" i="97"/>
  <c r="H101" i="97"/>
  <c r="G105" i="97"/>
  <c r="F126" i="97" l="1"/>
  <c r="F127" i="97"/>
  <c r="G146" i="97"/>
  <c r="G152" i="97" s="1"/>
  <c r="G161" i="97" s="1"/>
  <c r="G124" i="97"/>
  <c r="H105" i="97"/>
  <c r="I101" i="97"/>
  <c r="I105" i="97" s="1"/>
  <c r="E93" i="97"/>
  <c r="D122" i="97"/>
  <c r="D107" i="97"/>
  <c r="D106" i="97"/>
  <c r="I146" i="97" l="1"/>
  <c r="I152" i="97" s="1"/>
  <c r="I161" i="97" s="1"/>
  <c r="I124" i="97"/>
  <c r="H146" i="97"/>
  <c r="H152" i="97" s="1"/>
  <c r="H161" i="97" s="1"/>
  <c r="H124" i="97"/>
  <c r="G126" i="97"/>
  <c r="G127" i="97"/>
  <c r="E99" i="97"/>
  <c r="E94" i="97"/>
  <c r="J161" i="97" l="1"/>
  <c r="J152" i="97"/>
  <c r="J158" i="97" s="1"/>
  <c r="E95" i="97"/>
  <c r="F93" i="97"/>
  <c r="F99" i="97" s="1"/>
  <c r="E107" i="97"/>
  <c r="E122" i="97"/>
  <c r="E106" i="97"/>
  <c r="H126" i="97"/>
  <c r="H127" i="97"/>
  <c r="I127" i="97"/>
  <c r="I126" i="97"/>
  <c r="G93" i="97" l="1"/>
  <c r="G99" i="97" s="1"/>
  <c r="F122" i="97"/>
  <c r="F107" i="97"/>
  <c r="F106" i="97"/>
  <c r="F94" i="97"/>
  <c r="E96" i="97"/>
  <c r="G94" i="97" l="1"/>
  <c r="F95" i="97"/>
  <c r="E97" i="97"/>
  <c r="H93" i="97"/>
  <c r="H99" i="97" s="1"/>
  <c r="G122" i="97"/>
  <c r="G107" i="97"/>
  <c r="G106" i="97"/>
  <c r="G95" i="97" l="1"/>
  <c r="I93" i="97"/>
  <c r="I99" i="97" s="1"/>
  <c r="H107" i="97"/>
  <c r="H122" i="97"/>
  <c r="H106" i="97"/>
  <c r="F96" i="97"/>
  <c r="G96" i="97" s="1"/>
  <c r="H94" i="97"/>
  <c r="I94" i="97" s="1"/>
  <c r="H95" i="97" l="1"/>
  <c r="I95" i="97" s="1"/>
  <c r="F97" i="97"/>
  <c r="G97" i="97" s="1"/>
  <c r="J93" i="97"/>
  <c r="J94" i="97" s="1"/>
  <c r="I107" i="97"/>
  <c r="J163" i="97" s="1"/>
  <c r="J164" i="97" s="1"/>
  <c r="I106" i="97"/>
  <c r="I122" i="97"/>
  <c r="J95" i="97" l="1"/>
  <c r="H96" i="97"/>
  <c r="I96" i="97" s="1"/>
  <c r="H97" i="97"/>
  <c r="I97" i="97" s="1"/>
  <c r="J96" i="97" l="1"/>
  <c r="J97" i="97" s="1"/>
</calcChain>
</file>

<file path=xl/sharedStrings.xml><?xml version="1.0" encoding="utf-8"?>
<sst xmlns="http://schemas.openxmlformats.org/spreadsheetml/2006/main" count="332" uniqueCount="145">
  <si>
    <t>Valori in EUR</t>
  </si>
  <si>
    <t>SEZIONE ENTRATE</t>
  </si>
  <si>
    <t>TOTALE ENTRATE</t>
  </si>
  <si>
    <t>SEZIONE USCITE</t>
  </si>
  <si>
    <t>Area Operativa</t>
  </si>
  <si>
    <t>Leasing</t>
  </si>
  <si>
    <t>Interessi passivi c/c e spese</t>
  </si>
  <si>
    <t>TOTALE USCITE</t>
  </si>
  <si>
    <t>POSIZIONE FINANZIARIA</t>
  </si>
  <si>
    <t>Saldi iniziali c/c (*)</t>
  </si>
  <si>
    <t>Affidamenti di c/c</t>
  </si>
  <si>
    <t>TOTALE AFFIDAMENTI</t>
  </si>
  <si>
    <t>Riepilogo</t>
  </si>
  <si>
    <t xml:space="preserve">Saldo Gestione Corrente </t>
  </si>
  <si>
    <t>Gestione degli Investimenti</t>
  </si>
  <si>
    <t>Gestione Finanziaria</t>
  </si>
  <si>
    <t>Gestione Fiscale</t>
  </si>
  <si>
    <t>Saldo movimenti dei Mezzi Propri in conto Capitale</t>
  </si>
  <si>
    <t>Saldo movimenti dei Mezzi Propri in conto Utili</t>
  </si>
  <si>
    <t>Totale per Controllo</t>
  </si>
  <si>
    <t>Delta (check)</t>
  </si>
  <si>
    <t>Accensione finanziamenti esterni</t>
  </si>
  <si>
    <t>Erogazione Utili</t>
  </si>
  <si>
    <t xml:space="preserve">Entrate Varie </t>
  </si>
  <si>
    <t>Imposte</t>
  </si>
  <si>
    <t>Affitto d'azienda</t>
  </si>
  <si>
    <t>Commesse di Progettazione e Realizzazione</t>
  </si>
  <si>
    <t>Rimborso Prestiti Soci</t>
  </si>
  <si>
    <t>Area Investimenti</t>
  </si>
  <si>
    <t>Impianti/Attrezzature</t>
  </si>
  <si>
    <t>Materie prime per lavorazioni</t>
  </si>
  <si>
    <t>Cancelleria/Varie</t>
  </si>
  <si>
    <t>Area Fiscale</t>
  </si>
  <si>
    <t>Riaddebiti Utilizzo Autovetture da SNC</t>
  </si>
  <si>
    <t>Riaddebiti Leasing da SNC</t>
  </si>
  <si>
    <t>Remunerazione fissa AIP</t>
  </si>
  <si>
    <t>Remunerazione Variabile AIP</t>
  </si>
  <si>
    <t>Acconti</t>
  </si>
  <si>
    <t>Retribuzioni Dipendenti</t>
  </si>
  <si>
    <t>Contributi Dipendenti</t>
  </si>
  <si>
    <t>Retribuzioni Amministratori</t>
  </si>
  <si>
    <t>Contributi Amministratori</t>
  </si>
  <si>
    <t>Utenze Varie</t>
  </si>
  <si>
    <t>Acquisti</t>
  </si>
  <si>
    <t>Rata mutuo</t>
  </si>
  <si>
    <t>TOTALE</t>
  </si>
  <si>
    <t>SEZIONE PORTAFOGLIO MATURATO</t>
  </si>
  <si>
    <t>TOTALE PORTAFOGLIO MATURATO</t>
  </si>
  <si>
    <t>Consuntivo</t>
  </si>
  <si>
    <t>Spese per servizi</t>
  </si>
  <si>
    <t>Finanziamento Soci</t>
  </si>
  <si>
    <t xml:space="preserve">Commesse Incerte </t>
  </si>
  <si>
    <t>90.000 iva inclusa</t>
  </si>
  <si>
    <t>Consuntivato</t>
  </si>
  <si>
    <t>SEZIONE PORTAFOGLIO PRESENTATO</t>
  </si>
  <si>
    <t>TOTALE PORTAFOGLIO PRESENTATO</t>
  </si>
  <si>
    <t>Residuo Fidi C/C</t>
  </si>
  <si>
    <t>PERCENTUALE UTILIZZO AFFIDAMENTI C/C</t>
  </si>
  <si>
    <t>TOTALE SBF</t>
  </si>
  <si>
    <t>RISERVA SBF</t>
  </si>
  <si>
    <t>RIBA PRESENTATE SU UNICREDIT</t>
  </si>
  <si>
    <t>RIBA IN MATURAZIONE SU UNICREDIT</t>
  </si>
  <si>
    <t>Presso Unicredit</t>
  </si>
  <si>
    <t>Unicredit C/c</t>
  </si>
  <si>
    <t>Unicredit SBF</t>
  </si>
  <si>
    <t>Software/Hardware/Varie</t>
  </si>
  <si>
    <t xml:space="preserve"> </t>
  </si>
  <si>
    <t>RIBA PRESENTATE SU VALSABBINA</t>
  </si>
  <si>
    <t>RIBA IN MATURAZIONE SU VALSABBINA</t>
  </si>
  <si>
    <t>Presso Valsabbina</t>
  </si>
  <si>
    <t>Valsabbina C/c</t>
  </si>
  <si>
    <t>Valsabbina SBF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</si>
  <si>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</si>
  <si>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</si>
  <si>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</si>
  <si>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</si>
  <si>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</si>
  <si>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</si>
  <si>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</si>
  <si>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</si>
  <si>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</si>
  <si>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</si>
  <si>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</si>
  <si>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</si>
  <si>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</si>
  <si>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</si>
  <si>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</si>
  <si>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</si>
  <si>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</si>
  <si>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</si>
  <si>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</si>
  <si>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</si>
  <si>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</si>
  <si>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</si>
  <si>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</si>
  <si>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 xml:space="preserve">BUDGET CASSA </t>
  </si>
  <si>
    <t>Polizza Incendi</t>
  </si>
  <si>
    <t>Polizza RC Terzi</t>
  </si>
  <si>
    <t>Per Direzione</t>
  </si>
  <si>
    <t>Presso UBI</t>
  </si>
  <si>
    <t>Presso Intesa</t>
  </si>
  <si>
    <t>Intesa C/c</t>
  </si>
  <si>
    <t>Intesa SBF</t>
  </si>
  <si>
    <t>RIBA PRESENTATE SU INTESA</t>
  </si>
  <si>
    <t>RIBA IN MATURAZIONE SU INTESA</t>
  </si>
  <si>
    <t>RIBA PRESENTATE SU UBI</t>
  </si>
  <si>
    <t>RIBA IN MATURAZIONE SU UBI</t>
  </si>
  <si>
    <t>WorkStation</t>
  </si>
  <si>
    <t>Centro di Lavoro</t>
  </si>
  <si>
    <t>Interpareti+Computers</t>
  </si>
  <si>
    <t>Presse</t>
  </si>
  <si>
    <t>IMU su immobili e terreni</t>
  </si>
  <si>
    <t>Versamento Iva</t>
  </si>
  <si>
    <t>Pagamento TFR</t>
  </si>
  <si>
    <t>UBI C/c</t>
  </si>
  <si>
    <t>SALDO ENTRATE-USCITE</t>
  </si>
  <si>
    <t>Saldi finali di c/c</t>
  </si>
  <si>
    <t>UBI SBF</t>
  </si>
  <si>
    <t>Presentazioni di portafoglio</t>
  </si>
  <si>
    <t>DI CUI:</t>
  </si>
  <si>
    <t>Fido di Cassa</t>
  </si>
  <si>
    <t>Fido anticipo SBF</t>
  </si>
  <si>
    <t>TOTALE AREA OPERATIVA</t>
  </si>
  <si>
    <t>TOTALE AREA INVESTIMENTI</t>
  </si>
  <si>
    <t>Area Finanziaria</t>
  </si>
  <si>
    <t>TOTALE AREA FINANZIARIA</t>
  </si>
  <si>
    <t>TOTALE AREA FISCALE</t>
  </si>
  <si>
    <t>TOTALE AREA EQUITY</t>
  </si>
  <si>
    <t>Area Equity</t>
  </si>
  <si>
    <t>DSCR Calculation (codice della crisi)</t>
  </si>
  <si>
    <t>Numeratore</t>
  </si>
  <si>
    <t>Denominatore</t>
  </si>
  <si>
    <t>Flussi di cassa a servizio del debito</t>
  </si>
  <si>
    <t>Entrate finanziarie</t>
  </si>
  <si>
    <t>Disponibilità liquide iniziali</t>
  </si>
  <si>
    <t>Check</t>
  </si>
  <si>
    <t>DSCR</t>
  </si>
  <si>
    <t>TOTALE NUMERATORE (A)</t>
  </si>
  <si>
    <t>TOTALE DENOMINATORE (B)</t>
  </si>
  <si>
    <t>Double Check ricostruzione saldo finale (A+B)</t>
  </si>
  <si>
    <t>Variazione Castelletto SBF</t>
  </si>
  <si>
    <t>Saldo Gestione Operativa</t>
  </si>
  <si>
    <t>Totale affidamenti di portafoglio</t>
  </si>
  <si>
    <t>PERCENTUALE UTILIZZO AFFIDAMENTI SBF</t>
  </si>
  <si>
    <t>Totale portafoglio anticipato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</si>
</sst>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€&quot;\ #,##0;\-&quot;€&quot;\ #,##0"/>
    <numFmt numFmtId="43" formatCode="_-* #,##0.00_-;\-* #,##0.00_-;_-* &quot;-&quot;??_-;_-@_-"/>
    <numFmt numFmtId="164" formatCode="#,##0.00_ ;[Red]\-#,##0.00\ "/>
    <numFmt numFmtId="165" formatCode="#,##0_ ;[Red]\-#,##0\ "/>
    <numFmt numFmtId="166" formatCode="0_ ;[Red]\-0\ "/>
    <numFmt numFmtId="167" formatCode="#,##0.00_ ;\-#,##0.00\ "/>
    <numFmt numFmtId="168" formatCode="_-[$€]\ * #,##0.00_-;\-[$€]\ * #,##0.00_-;_-[$€]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164" fontId="2" fillId="0" borderId="0" xfId="0" applyNumberFormat="1" applyFont="1"/>
    <xf numFmtId="165" fontId="5" fillId="0" borderId="0" xfId="0" applyNumberFormat="1" applyFont="1"/>
    <xf numFmtId="164" fontId="2" fillId="2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 applyFill="1"/>
    <xf numFmtId="164" fontId="4" fillId="3" borderId="0" xfId="0" applyNumberFormat="1" applyFont="1" applyFill="1"/>
    <xf numFmtId="164" fontId="7" fillId="3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 applyAlignment="1">
      <alignment horizontal="left"/>
    </xf>
    <xf numFmtId="43" fontId="3" fillId="0" borderId="0" xfId="3" applyFont="1" applyAlignment="1">
      <alignment horizontal="right"/>
    </xf>
    <xf numFmtId="43" fontId="2" fillId="0" borderId="0" xfId="3" applyFont="1"/>
    <xf numFmtId="164" fontId="11" fillId="0" borderId="0" xfId="0" applyNumberFormat="1" applyFont="1"/>
    <xf numFmtId="43" fontId="11" fillId="0" borderId="0" xfId="3" applyFont="1" applyAlignment="1">
      <alignment horizontal="right"/>
    </xf>
    <xf numFmtId="164" fontId="12" fillId="0" borderId="0" xfId="0" applyNumberFormat="1" applyFont="1"/>
    <xf numFmtId="0" fontId="3" fillId="0" borderId="0" xfId="0" applyFont="1" applyFill="1"/>
    <xf numFmtId="0" fontId="5" fillId="0" borderId="0" xfId="3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164" fontId="3" fillId="0" borderId="0" xfId="0" applyNumberFormat="1" applyFont="1" applyFill="1" applyAlignment="1">
      <alignment horizontal="left"/>
    </xf>
    <xf numFmtId="43" fontId="3" fillId="0" borderId="0" xfId="3" applyFont="1" applyFill="1" applyAlignment="1">
      <alignment horizontal="right"/>
    </xf>
    <xf numFmtId="164" fontId="2" fillId="0" borderId="0" xfId="0" applyNumberFormat="1" applyFont="1" applyFill="1" applyAlignment="1">
      <alignment horizontal="left"/>
    </xf>
    <xf numFmtId="165" fontId="5" fillId="0" borderId="0" xfId="0" applyNumberFormat="1" applyFont="1" applyFill="1"/>
    <xf numFmtId="164" fontId="11" fillId="0" borderId="0" xfId="0" applyNumberFormat="1" applyFont="1" applyFill="1"/>
    <xf numFmtId="43" fontId="2" fillId="0" borderId="0" xfId="3" applyFont="1" applyFill="1"/>
    <xf numFmtId="43" fontId="3" fillId="0" borderId="0" xfId="3" applyFont="1"/>
    <xf numFmtId="43" fontId="3" fillId="0" borderId="0" xfId="3" applyFont="1" applyFill="1"/>
    <xf numFmtId="43" fontId="3" fillId="0" borderId="0" xfId="3" applyFont="1" applyFill="1" applyAlignment="1">
      <alignment horizontal="left"/>
    </xf>
    <xf numFmtId="0" fontId="4" fillId="4" borderId="0" xfId="0" applyFont="1" applyFill="1"/>
    <xf numFmtId="0" fontId="7" fillId="4" borderId="0" xfId="0" applyFont="1" applyFill="1"/>
    <xf numFmtId="0" fontId="17" fillId="4" borderId="0" xfId="0" applyFont="1" applyFill="1" applyAlignment="1">
      <alignment horizontal="center"/>
    </xf>
    <xf numFmtId="0" fontId="4" fillId="5" borderId="0" xfId="0" applyFont="1" applyFill="1"/>
    <xf numFmtId="0" fontId="7" fillId="5" borderId="0" xfId="0" applyFont="1" applyFill="1"/>
    <xf numFmtId="0" fontId="17" fillId="5" borderId="0" xfId="0" applyFont="1" applyFill="1" applyAlignment="1">
      <alignment horizontal="center"/>
    </xf>
    <xf numFmtId="43" fontId="18" fillId="0" borderId="0" xfId="3" applyFont="1" applyFill="1"/>
    <xf numFmtId="43" fontId="3" fillId="0" borderId="0" xfId="3" applyFont="1" applyFill="1" applyBorder="1"/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43" fontId="2" fillId="0" borderId="0" xfId="3" applyFont="1" applyFill="1" applyBorder="1"/>
    <xf numFmtId="164" fontId="16" fillId="0" borderId="0" xfId="0" applyNumberFormat="1" applyFont="1" applyFill="1"/>
    <xf numFmtId="0" fontId="4" fillId="6" borderId="0" xfId="0" applyFont="1" applyFill="1"/>
    <xf numFmtId="0" fontId="7" fillId="6" borderId="0" xfId="0" applyFont="1" applyFill="1"/>
    <xf numFmtId="0" fontId="17" fillId="6" borderId="0" xfId="0" applyFont="1" applyFill="1" applyAlignment="1">
      <alignment horizontal="center"/>
    </xf>
    <xf numFmtId="164" fontId="3" fillId="0" borderId="0" xfId="0" applyNumberFormat="1" applyFont="1" applyAlignment="1">
      <alignment horizontal="distributed"/>
    </xf>
    <xf numFmtId="164" fontId="15" fillId="0" borderId="0" xfId="0" applyNumberFormat="1" applyFont="1" applyFill="1"/>
    <xf numFmtId="0" fontId="17" fillId="5" borderId="0" xfId="0" applyFont="1" applyFill="1"/>
    <xf numFmtId="0" fontId="17" fillId="4" borderId="0" xfId="0" applyFont="1" applyFill="1"/>
    <xf numFmtId="0" fontId="17" fillId="6" borderId="0" xfId="0" applyFont="1" applyFill="1"/>
    <xf numFmtId="0" fontId="4" fillId="7" borderId="0" xfId="0" applyFont="1" applyFill="1"/>
    <xf numFmtId="0" fontId="7" fillId="7" borderId="0" xfId="0" applyFont="1" applyFill="1"/>
    <xf numFmtId="0" fontId="17" fillId="7" borderId="0" xfId="0" applyFont="1" applyFill="1" applyAlignment="1">
      <alignment horizontal="center"/>
    </xf>
    <xf numFmtId="0" fontId="17" fillId="7" borderId="0" xfId="0" applyFont="1" applyFill="1"/>
    <xf numFmtId="167" fontId="19" fillId="8" borderId="0" xfId="0" applyNumberFormat="1" applyFont="1" applyFill="1"/>
    <xf numFmtId="167" fontId="19" fillId="8" borderId="0" xfId="0" applyNumberFormat="1" applyFont="1" applyFill="1" applyAlignment="1">
      <alignment horizontal="right"/>
    </xf>
    <xf numFmtId="164" fontId="20" fillId="8" borderId="0" xfId="0" applyNumberFormat="1" applyFont="1" applyFill="1"/>
    <xf numFmtId="164" fontId="7" fillId="0" borderId="0" xfId="0" applyNumberFormat="1" applyFont="1" applyFill="1"/>
    <xf numFmtId="164" fontId="21" fillId="9" borderId="0" xfId="0" applyNumberFormat="1" applyFont="1" applyFill="1"/>
    <xf numFmtId="164" fontId="2" fillId="10" borderId="0" xfId="0" applyNumberFormat="1" applyFont="1" applyFill="1"/>
    <xf numFmtId="164" fontId="2" fillId="11" borderId="0" xfId="0" applyNumberFormat="1" applyFont="1" applyFill="1"/>
    <xf numFmtId="164" fontId="6" fillId="11" borderId="0" xfId="0" applyNumberFormat="1" applyFont="1" applyFill="1" applyAlignment="1">
      <alignment horizontal="center"/>
    </xf>
    <xf numFmtId="166" fontId="5" fillId="11" borderId="0" xfId="0" applyNumberFormat="1" applyFont="1" applyFill="1"/>
    <xf numFmtId="165" fontId="5" fillId="11" borderId="0" xfId="0" applyNumberFormat="1" applyFont="1" applyFill="1"/>
    <xf numFmtId="165" fontId="3" fillId="11" borderId="0" xfId="0" applyNumberFormat="1" applyFont="1" applyFill="1" applyAlignment="1">
      <alignment horizontal="right"/>
    </xf>
    <xf numFmtId="165" fontId="3" fillId="11" borderId="0" xfId="0" applyNumberFormat="1" applyFont="1" applyFill="1"/>
    <xf numFmtId="0" fontId="0" fillId="11" borderId="0" xfId="0" applyFill="1"/>
    <xf numFmtId="43" fontId="3" fillId="11" borderId="0" xfId="3" applyFont="1" applyFill="1" applyAlignment="1">
      <alignment horizontal="right"/>
    </xf>
    <xf numFmtId="164" fontId="3" fillId="11" borderId="0" xfId="0" applyNumberFormat="1" applyFont="1" applyFill="1" applyAlignment="1">
      <alignment horizontal="left"/>
    </xf>
    <xf numFmtId="43" fontId="2" fillId="11" borderId="0" xfId="3" applyFont="1" applyFill="1"/>
    <xf numFmtId="164" fontId="2" fillId="10" borderId="0" xfId="0" applyNumberFormat="1" applyFont="1" applyFill="1" applyAlignment="1">
      <alignment horizontal="left"/>
    </xf>
    <xf numFmtId="43" fontId="2" fillId="10" borderId="0" xfId="3" applyFont="1" applyFill="1" applyAlignment="1">
      <alignment horizontal="right"/>
    </xf>
    <xf numFmtId="164" fontId="3" fillId="11" borderId="0" xfId="0" quotePrefix="1" applyNumberFormat="1" applyFont="1" applyFill="1" applyAlignment="1">
      <alignment horizontal="left"/>
    </xf>
    <xf numFmtId="164" fontId="2" fillId="11" borderId="0" xfId="0" applyNumberFormat="1" applyFont="1" applyFill="1" applyAlignment="1">
      <alignment horizontal="left"/>
    </xf>
    <xf numFmtId="164" fontId="3" fillId="11" borderId="0" xfId="0" applyNumberFormat="1" applyFont="1" applyFill="1"/>
    <xf numFmtId="0" fontId="14" fillId="11" borderId="0" xfId="1" applyFill="1" applyAlignment="1" applyProtection="1"/>
    <xf numFmtId="164" fontId="2" fillId="11" borderId="0" xfId="0" quotePrefix="1" applyNumberFormat="1" applyFont="1" applyFill="1" applyAlignment="1">
      <alignment horizontal="left"/>
    </xf>
    <xf numFmtId="164" fontId="3" fillId="11" borderId="0" xfId="0" applyNumberFormat="1" applyFont="1" applyFill="1" applyAlignment="1">
      <alignment horizontal="right"/>
    </xf>
    <xf numFmtId="164" fontId="19" fillId="9" borderId="0" xfId="0" applyNumberFormat="1" applyFont="1" applyFill="1"/>
    <xf numFmtId="164" fontId="2" fillId="13" borderId="0" xfId="0" applyNumberFormat="1" applyFont="1" applyFill="1" applyAlignment="1">
      <alignment horizontal="left"/>
    </xf>
    <xf numFmtId="43" fontId="2" fillId="13" borderId="0" xfId="3" applyFont="1" applyFill="1" applyAlignment="1">
      <alignment horizontal="right"/>
    </xf>
    <xf numFmtId="164" fontId="2" fillId="13" borderId="0" xfId="0" applyNumberFormat="1" applyFont="1" applyFill="1"/>
    <xf numFmtId="164" fontId="2" fillId="11" borderId="0" xfId="0" applyNumberFormat="1" applyFont="1" applyFill="1" applyAlignment="1">
      <alignment horizontal="right"/>
    </xf>
    <xf numFmtId="164" fontId="5" fillId="11" borderId="0" xfId="0" applyNumberFormat="1" applyFont="1" applyFill="1"/>
    <xf numFmtId="164" fontId="19" fillId="14" borderId="0" xfId="0" quotePrefix="1" applyNumberFormat="1" applyFont="1" applyFill="1" applyAlignment="1">
      <alignment horizontal="right"/>
    </xf>
    <xf numFmtId="164" fontId="19" fillId="14" borderId="0" xfId="0" applyNumberFormat="1" applyFont="1" applyFill="1"/>
    <xf numFmtId="164" fontId="19" fillId="14" borderId="0" xfId="0" applyNumberFormat="1" applyFont="1" applyFill="1" applyAlignment="1">
      <alignment horizontal="right"/>
    </xf>
    <xf numFmtId="167" fontId="19" fillId="15" borderId="0" xfId="0" applyNumberFormat="1" applyFont="1" applyFill="1"/>
    <xf numFmtId="167" fontId="19" fillId="15" borderId="0" xfId="0" applyNumberFormat="1" applyFont="1" applyFill="1" applyAlignment="1">
      <alignment horizontal="right"/>
    </xf>
    <xf numFmtId="164" fontId="20" fillId="15" borderId="0" xfId="0" applyNumberFormat="1" applyFont="1" applyFill="1"/>
    <xf numFmtId="167" fontId="2" fillId="11" borderId="0" xfId="0" applyNumberFormat="1" applyFont="1" applyFill="1"/>
    <xf numFmtId="167" fontId="19" fillId="11" borderId="0" xfId="0" applyNumberFormat="1" applyFont="1" applyFill="1"/>
    <xf numFmtId="167" fontId="19" fillId="11" borderId="0" xfId="0" applyNumberFormat="1" applyFont="1" applyFill="1" applyAlignment="1">
      <alignment horizontal="right"/>
    </xf>
    <xf numFmtId="164" fontId="20" fillId="11" borderId="0" xfId="0" applyNumberFormat="1" applyFont="1" applyFill="1"/>
    <xf numFmtId="164" fontId="19" fillId="8" borderId="0" xfId="0" applyNumberFormat="1" applyFont="1" applyFill="1"/>
    <xf numFmtId="164" fontId="10" fillId="10" borderId="0" xfId="0" quotePrefix="1" applyNumberFormat="1" applyFont="1" applyFill="1" applyAlignment="1">
      <alignment horizontal="left"/>
    </xf>
    <xf numFmtId="164" fontId="10" fillId="10" borderId="0" xfId="0" applyNumberFormat="1" applyFont="1" applyFill="1"/>
    <xf numFmtId="164" fontId="3" fillId="10" borderId="0" xfId="0" applyNumberFormat="1" applyFont="1" applyFill="1"/>
    <xf numFmtId="164" fontId="10" fillId="11" borderId="0" xfId="0" applyNumberFormat="1" applyFont="1" applyFill="1"/>
    <xf numFmtId="164" fontId="8" fillId="11" borderId="0" xfId="0" applyNumberFormat="1" applyFont="1" applyFill="1" applyAlignment="1">
      <alignment horizontal="right" vertical="center" wrapText="1"/>
    </xf>
    <xf numFmtId="164" fontId="8" fillId="11" borderId="0" xfId="2" applyNumberFormat="1" applyFont="1" applyFill="1" applyAlignment="1">
      <alignment horizontal="center" vertical="center" wrapText="1"/>
    </xf>
    <xf numFmtId="164" fontId="8" fillId="11" borderId="0" xfId="0" applyNumberFormat="1" applyFont="1" applyFill="1" applyAlignment="1">
      <alignment horizontal="center" vertical="center" wrapText="1"/>
    </xf>
    <xf numFmtId="10" fontId="2" fillId="13" borderId="0" xfId="4" applyNumberFormat="1" applyFont="1" applyFill="1"/>
    <xf numFmtId="164" fontId="3" fillId="13" borderId="0" xfId="0" applyNumberFormat="1" applyFont="1" applyFill="1"/>
    <xf numFmtId="164" fontId="8" fillId="12" borderId="0" xfId="0" applyNumberFormat="1" applyFont="1" applyFill="1" applyAlignment="1">
      <alignment horizontal="right" vertical="center" wrapText="1"/>
    </xf>
    <xf numFmtId="5" fontId="8" fillId="12" borderId="0" xfId="0" applyNumberFormat="1" applyFont="1" applyFill="1" applyAlignment="1">
      <alignment horizontal="center" vertical="center" wrapText="1"/>
    </xf>
    <xf numFmtId="164" fontId="8" fillId="12" borderId="0" xfId="0" applyNumberFormat="1" applyFont="1" applyFill="1" applyAlignment="1">
      <alignment horizontal="center" vertical="center" wrapText="1"/>
    </xf>
    <xf numFmtId="4" fontId="2" fillId="11" borderId="0" xfId="0" applyNumberFormat="1" applyFont="1" applyFill="1"/>
    <xf numFmtId="4" fontId="2" fillId="11" borderId="0" xfId="4" applyNumberFormat="1" applyFont="1" applyFill="1"/>
    <xf numFmtId="164" fontId="10" fillId="16" borderId="0" xfId="0" applyNumberFormat="1" applyFont="1" applyFill="1"/>
    <xf numFmtId="4" fontId="10" fillId="16" borderId="0" xfId="0" applyNumberFormat="1" applyFont="1" applyFill="1"/>
    <xf numFmtId="164" fontId="9" fillId="16" borderId="0" xfId="0" applyNumberFormat="1" applyFont="1" applyFill="1"/>
    <xf numFmtId="164" fontId="7" fillId="11" borderId="0" xfId="0" applyNumberFormat="1" applyFont="1" applyFill="1"/>
    <xf numFmtId="164" fontId="2" fillId="11" borderId="0" xfId="0" quotePrefix="1" applyNumberFormat="1" applyFont="1" applyFill="1" applyAlignment="1">
      <alignment horizontal="right"/>
    </xf>
    <xf numFmtId="164" fontId="3" fillId="11" borderId="0" xfId="0" applyNumberFormat="1" applyFont="1" applyFill="1" applyAlignment="1"/>
    <xf numFmtId="164" fontId="2" fillId="11" borderId="0" xfId="0" applyNumberFormat="1" applyFont="1" applyFill="1" applyAlignment="1"/>
    <xf numFmtId="164" fontId="2" fillId="11" borderId="0" xfId="0" applyNumberFormat="1" applyFont="1" applyFill="1" applyAlignment="1">
      <alignment horizontal="center"/>
    </xf>
    <xf numFmtId="164" fontId="23" fillId="18" borderId="0" xfId="0" applyNumberFormat="1" applyFont="1" applyFill="1"/>
    <xf numFmtId="164" fontId="10" fillId="18" borderId="0" xfId="0" applyNumberFormat="1" applyFont="1" applyFill="1" applyAlignment="1">
      <alignment horizontal="right"/>
    </xf>
    <xf numFmtId="164" fontId="10" fillId="18" borderId="0" xfId="0" applyNumberFormat="1" applyFont="1" applyFill="1"/>
    <xf numFmtId="164" fontId="22" fillId="19" borderId="0" xfId="0" quotePrefix="1" applyNumberFormat="1" applyFont="1" applyFill="1"/>
    <xf numFmtId="164" fontId="23" fillId="19" borderId="0" xfId="0" applyNumberFormat="1" applyFont="1" applyFill="1"/>
    <xf numFmtId="167" fontId="10" fillId="10" borderId="0" xfId="0" applyNumberFormat="1" applyFont="1" applyFill="1"/>
    <xf numFmtId="164" fontId="2" fillId="16" borderId="0" xfId="0" applyNumberFormat="1" applyFont="1" applyFill="1" applyAlignment="1">
      <alignment horizontal="right"/>
    </xf>
    <xf numFmtId="164" fontId="19" fillId="17" borderId="0" xfId="0" applyNumberFormat="1" applyFont="1" applyFill="1" applyAlignment="1">
      <alignment horizontal="right"/>
    </xf>
    <xf numFmtId="164" fontId="19" fillId="17" borderId="0" xfId="0" applyNumberFormat="1" applyFont="1" applyFill="1"/>
    <xf numFmtId="10" fontId="19" fillId="17" borderId="0" xfId="4" applyNumberFormat="1" applyFont="1" applyFill="1"/>
    <xf numFmtId="164" fontId="20" fillId="17" borderId="0" xfId="0" applyNumberFormat="1" applyFont="1" applyFill="1"/>
    <xf numFmtId="164" fontId="19" fillId="11" borderId="0" xfId="0" applyNumberFormat="1" applyFont="1" applyFill="1" applyAlignment="1">
      <alignment horizontal="right"/>
    </xf>
    <xf numFmtId="164" fontId="19" fillId="11" borderId="0" xfId="0" applyNumberFormat="1" applyFont="1" applyFill="1"/>
    <xf numFmtId="10" fontId="19" fillId="11" borderId="0" xfId="4" applyNumberFormat="1" applyFont="1" applyFill="1"/>
  </cellXfs>
  <cellStyles count="5">
    <cellStyle name="Collegamento ipertestuale" xfId="1" builtinId="8"/>
    <cellStyle name="Euro" xfId="2" xr:uid="{00000000-0005-0000-0000-000001000000}"/>
    <cellStyle name="Migliaia" xfId="3" builtinId="3"/>
    <cellStyle name="Normale" xfId="0" builtinId="0"/>
    <cellStyle name="Percentual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23"/>
  <sheetViews>
    <sheetView workbookViewId="0">
      <pane xSplit="1" ySplit="2" topLeftCell="AE3" activePane="bottomRight" state="frozen"/>
      <selection activeCell="AL54" sqref="AL54:AN54"/>
      <selection pane="topRight" activeCell="AL54" sqref="AL54:AN54"/>
      <selection pane="bottomLeft" activeCell="AL54" sqref="AL54:AN54"/>
      <selection pane="bottomRight" activeCell="AG4" sqref="AG4:AL24"/>
    </sheetView>
  </sheetViews>
  <sheetFormatPr defaultRowHeight="12.3" x14ac:dyDescent="0.4"/>
  <cols>
    <col min="1" max="1" width="37" bestFit="1" customWidth="1"/>
    <col min="2" max="2" width="1.5546875" hidden="1" customWidth="1"/>
    <col min="3" max="9" width="10.6640625" hidden="1" customWidth="1"/>
    <col min="10" max="10" width="11.33203125" hidden="1" customWidth="1"/>
    <col min="11" max="11" width="10.5546875" hidden="1" customWidth="1"/>
    <col min="12" max="12" width="11.44140625" hidden="1" customWidth="1"/>
    <col min="13" max="13" width="11" hidden="1" customWidth="1"/>
    <col min="14" max="14" width="10.88671875" hidden="1" customWidth="1"/>
    <col min="15" max="15" width="11.44140625" hidden="1" customWidth="1"/>
    <col min="16" max="16" width="11.6640625" hidden="1" customWidth="1"/>
    <col min="17" max="17" width="11.88671875" hidden="1" customWidth="1"/>
    <col min="18" max="18" width="11.109375" hidden="1" customWidth="1"/>
    <col min="19" max="20" width="12.33203125" hidden="1" customWidth="1"/>
    <col min="21" max="21" width="11.44140625" hidden="1" customWidth="1"/>
    <col min="22" max="24" width="11.5546875" hidden="1" customWidth="1"/>
    <col min="25" max="26" width="10.88671875" hidden="1" customWidth="1"/>
    <col min="27" max="27" width="11.109375" hidden="1" customWidth="1"/>
    <col min="28" max="28" width="11.44140625" hidden="1" customWidth="1"/>
    <col min="29" max="30" width="10.6640625" hidden="1" customWidth="1"/>
    <col min="31" max="31" width="10.6640625" bestFit="1" customWidth="1"/>
    <col min="32" max="32" width="10" bestFit="1" customWidth="1"/>
    <col min="33" max="40" width="10.6640625" bestFit="1" customWidth="1"/>
    <col min="41" max="41" width="10.21875" bestFit="1" customWidth="1"/>
    <col min="42" max="42" width="9.21875" bestFit="1" customWidth="1"/>
  </cols>
  <sheetData>
    <row r="1" spans="1:42" s="32" customFormat="1" x14ac:dyDescent="0.4">
      <c r="A1" s="31" t="s">
        <v>103</v>
      </c>
      <c r="C1" s="33" t="s">
        <v>53</v>
      </c>
      <c r="D1" s="33" t="s">
        <v>53</v>
      </c>
      <c r="E1" s="33" t="s">
        <v>53</v>
      </c>
      <c r="F1" s="33" t="s">
        <v>53</v>
      </c>
      <c r="G1" s="33" t="s">
        <v>53</v>
      </c>
      <c r="H1" s="33" t="s">
        <v>53</v>
      </c>
      <c r="I1" s="33" t="s">
        <v>53</v>
      </c>
      <c r="J1" s="33" t="s">
        <v>53</v>
      </c>
      <c r="K1" s="33" t="s">
        <v>53</v>
      </c>
      <c r="L1" s="33" t="s">
        <v>53</v>
      </c>
      <c r="M1" s="33" t="s">
        <v>53</v>
      </c>
      <c r="N1" s="33" t="s">
        <v>53</v>
      </c>
      <c r="O1" s="33" t="s">
        <v>53</v>
      </c>
      <c r="P1" s="33" t="s">
        <v>53</v>
      </c>
      <c r="Q1" s="33" t="s">
        <v>53</v>
      </c>
      <c r="R1" s="33" t="s">
        <v>53</v>
      </c>
      <c r="S1" s="33" t="s">
        <v>53</v>
      </c>
      <c r="T1" s="33" t="s">
        <v>53</v>
      </c>
      <c r="U1" s="33" t="s">
        <v>53</v>
      </c>
      <c r="V1" s="33" t="s">
        <v>53</v>
      </c>
      <c r="W1" s="33" t="s">
        <v>53</v>
      </c>
      <c r="X1" s="33" t="s">
        <v>53</v>
      </c>
      <c r="Y1" s="33" t="s">
        <v>53</v>
      </c>
      <c r="Z1" s="33" t="s">
        <v>53</v>
      </c>
      <c r="AA1" s="33" t="s">
        <v>53</v>
      </c>
      <c r="AB1" s="33" t="s">
        <v>53</v>
      </c>
      <c r="AC1" s="33" t="s">
        <v>53</v>
      </c>
      <c r="AD1" s="33" t="s">
        <v>53</v>
      </c>
      <c r="AE1" s="33" t="s">
        <v>53</v>
      </c>
      <c r="AF1" s="33" t="s">
        <v>53</v>
      </c>
      <c r="AG1" s="33"/>
    </row>
    <row r="2" spans="1:42" s="15" customFormat="1" ht="15" x14ac:dyDescent="0.5">
      <c r="A2" s="16">
        <v>2019</v>
      </c>
      <c r="B2" s="2">
        <v>4</v>
      </c>
      <c r="C2" s="2">
        <v>5</v>
      </c>
      <c r="D2" s="2">
        <v>6</v>
      </c>
      <c r="E2" s="2">
        <v>7</v>
      </c>
      <c r="F2" s="2">
        <v>8</v>
      </c>
      <c r="G2" s="2">
        <v>9</v>
      </c>
      <c r="H2" s="2">
        <v>10</v>
      </c>
      <c r="I2" s="2">
        <v>11</v>
      </c>
      <c r="J2" s="2">
        <v>12</v>
      </c>
      <c r="K2" s="22">
        <v>1</v>
      </c>
      <c r="L2" s="22">
        <v>2</v>
      </c>
      <c r="M2" s="22">
        <v>3</v>
      </c>
      <c r="N2" s="22">
        <v>4</v>
      </c>
      <c r="O2" s="22">
        <v>5</v>
      </c>
      <c r="P2" s="22">
        <v>6</v>
      </c>
      <c r="Q2" s="22">
        <v>7</v>
      </c>
      <c r="R2" s="22">
        <v>8</v>
      </c>
      <c r="S2" s="22">
        <v>9</v>
      </c>
      <c r="T2" s="22">
        <v>10</v>
      </c>
      <c r="U2" s="22">
        <v>11</v>
      </c>
      <c r="V2" s="22">
        <v>12</v>
      </c>
      <c r="W2" s="22">
        <v>1</v>
      </c>
      <c r="X2" s="22">
        <v>2</v>
      </c>
      <c r="Y2" s="22">
        <v>3</v>
      </c>
      <c r="Z2" s="22">
        <v>4</v>
      </c>
      <c r="AA2" s="22">
        <v>5</v>
      </c>
      <c r="AB2" s="22">
        <v>6</v>
      </c>
      <c r="AC2" s="22">
        <v>7</v>
      </c>
      <c r="AD2" s="22">
        <v>8</v>
      </c>
      <c r="AE2" s="22">
        <v>9</v>
      </c>
      <c r="AF2" s="22">
        <v>10</v>
      </c>
      <c r="AG2" s="22">
        <v>11</v>
      </c>
      <c r="AH2" s="22">
        <v>12</v>
      </c>
      <c r="AI2" s="22">
        <v>1</v>
      </c>
      <c r="AJ2" s="22">
        <v>2</v>
      </c>
      <c r="AK2" s="22">
        <v>3</v>
      </c>
      <c r="AL2" s="22">
        <v>4</v>
      </c>
      <c r="AM2" s="22">
        <v>5</v>
      </c>
      <c r="AN2" s="22">
        <v>6</v>
      </c>
      <c r="AO2" s="22">
        <v>7</v>
      </c>
      <c r="AP2" s="22">
        <v>8</v>
      </c>
    </row>
    <row r="3" spans="1:42" s="1" customFormat="1" x14ac:dyDescent="0.4">
      <c r="A3" s="19" t="s">
        <v>72</v>
      </c>
      <c r="B3" s="20"/>
      <c r="C3" s="20"/>
      <c r="D3" s="20"/>
      <c r="E3" s="20"/>
      <c r="F3" s="5"/>
      <c r="G3" s="20"/>
      <c r="H3" s="24"/>
      <c r="I3" s="24"/>
      <c r="J3" s="26"/>
      <c r="K3" s="24"/>
      <c r="L3" s="24"/>
      <c r="M3" s="24"/>
      <c r="N3" s="5"/>
      <c r="O3" s="8"/>
      <c r="P3" s="5"/>
      <c r="Q3" s="39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42" s="4" customFormat="1" x14ac:dyDescent="0.4">
      <c r="A4" s="19" t="s">
        <v>73</v>
      </c>
      <c r="B4" s="8"/>
      <c r="C4" s="23"/>
      <c r="D4" s="23"/>
      <c r="E4" s="2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4">
        <v>35992.800000000003</v>
      </c>
      <c r="AG4" s="4">
        <v>74412</v>
      </c>
      <c r="AH4" s="4">
        <v>200376</v>
      </c>
    </row>
    <row r="5" spans="1:42" s="1" customFormat="1" x14ac:dyDescent="0.4">
      <c r="A5" s="19" t="s">
        <v>74</v>
      </c>
      <c r="B5" s="20"/>
      <c r="C5" s="20">
        <v>24641.11</v>
      </c>
      <c r="D5" s="20">
        <v>31608.21</v>
      </c>
      <c r="E5" s="5"/>
      <c r="F5" s="20">
        <v>31996.32</v>
      </c>
      <c r="G5" s="20"/>
      <c r="H5" s="5"/>
      <c r="I5" s="20"/>
      <c r="J5" s="26"/>
      <c r="K5" s="26">
        <v>29278.89</v>
      </c>
      <c r="L5" s="26"/>
      <c r="M5" s="35">
        <v>12650</v>
      </c>
      <c r="N5" s="8"/>
      <c r="O5" s="8">
        <f>52298+2376</f>
        <v>54674</v>
      </c>
      <c r="P5" s="8">
        <f>8100+47487.5-12655</f>
        <v>42932.5</v>
      </c>
      <c r="Q5" s="8"/>
      <c r="R5" s="8"/>
      <c r="S5" s="8"/>
      <c r="T5" s="8"/>
      <c r="U5" s="8"/>
      <c r="V5" s="8">
        <v>28000</v>
      </c>
      <c r="W5" s="8"/>
      <c r="X5" s="8"/>
      <c r="Y5" s="8"/>
      <c r="Z5" s="8"/>
      <c r="AA5" s="8"/>
      <c r="AB5" s="8">
        <v>24609.439999999999</v>
      </c>
      <c r="AC5" s="8"/>
      <c r="AD5" s="5"/>
      <c r="AE5" s="8">
        <v>41506.81</v>
      </c>
      <c r="AF5" s="4"/>
      <c r="AG5" s="4">
        <v>30115.63</v>
      </c>
      <c r="AH5" s="4">
        <v>31000</v>
      </c>
      <c r="AM5" s="1">
        <v>110000</v>
      </c>
    </row>
    <row r="6" spans="1:42" s="1" customFormat="1" x14ac:dyDescent="0.4">
      <c r="A6" s="19" t="s">
        <v>75</v>
      </c>
      <c r="B6" s="20"/>
      <c r="C6" s="8">
        <v>2364</v>
      </c>
      <c r="D6" s="20">
        <f>372-3.11-4</f>
        <v>364.89</v>
      </c>
      <c r="E6" s="20">
        <v>18463.060000000001</v>
      </c>
      <c r="F6" s="8">
        <v>1296</v>
      </c>
      <c r="G6" s="5"/>
      <c r="H6" s="20">
        <f>3615*1.2+1152-24.16</f>
        <v>5465.84</v>
      </c>
      <c r="I6" s="5"/>
      <c r="J6" s="26">
        <f>23100*1.2-16.94</f>
        <v>27703.06</v>
      </c>
      <c r="K6" s="26"/>
      <c r="L6" s="26">
        <v>1580</v>
      </c>
      <c r="M6" s="35">
        <f>1550+250</f>
        <v>1800</v>
      </c>
      <c r="N6" s="5"/>
      <c r="O6" s="8"/>
      <c r="P6" s="8">
        <f>2929+2929</f>
        <v>5858</v>
      </c>
      <c r="Q6" s="8">
        <f>2424*2</f>
        <v>4848</v>
      </c>
      <c r="R6" s="5"/>
      <c r="S6" s="5"/>
      <c r="T6" s="8">
        <f>1596</f>
        <v>1596</v>
      </c>
      <c r="U6" s="8">
        <v>1920</v>
      </c>
      <c r="V6" s="8">
        <f>2886+(2615.89*3)</f>
        <v>10733.67</v>
      </c>
      <c r="W6" s="8"/>
      <c r="X6" s="5"/>
      <c r="Y6" s="5"/>
      <c r="Z6" s="5"/>
      <c r="AA6" s="5"/>
      <c r="AB6" s="5"/>
      <c r="AC6" s="5"/>
      <c r="AD6" s="5"/>
      <c r="AE6" s="5"/>
      <c r="AF6" s="4"/>
      <c r="AG6" s="4"/>
      <c r="AH6" s="4"/>
    </row>
    <row r="7" spans="1:42" s="1" customFormat="1" x14ac:dyDescent="0.4">
      <c r="A7" s="19" t="s">
        <v>76</v>
      </c>
      <c r="B7" s="20"/>
      <c r="C7" s="20"/>
      <c r="D7" s="20"/>
      <c r="E7" s="20"/>
      <c r="F7" s="20">
        <v>540</v>
      </c>
      <c r="G7" s="5"/>
      <c r="H7" s="20">
        <f>950*1.2</f>
        <v>1140</v>
      </c>
      <c r="I7" s="26"/>
      <c r="J7" s="26"/>
      <c r="K7" s="26"/>
      <c r="L7" s="26"/>
      <c r="M7" s="35">
        <f>950*1.2</f>
        <v>1140</v>
      </c>
      <c r="N7" s="5"/>
      <c r="O7" s="5"/>
      <c r="P7" s="5"/>
      <c r="Q7" s="5"/>
      <c r="R7" s="5"/>
      <c r="S7" s="8">
        <v>6322.69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42" s="4" customFormat="1" x14ac:dyDescent="0.4">
      <c r="A8" s="19" t="s">
        <v>77</v>
      </c>
      <c r="B8" s="8"/>
      <c r="C8" s="23"/>
      <c r="D8" s="23"/>
      <c r="E8" s="23"/>
      <c r="F8" s="8"/>
      <c r="G8" s="8"/>
      <c r="H8" s="8"/>
      <c r="I8" s="8"/>
      <c r="J8" s="8"/>
      <c r="K8" s="8"/>
      <c r="L8" s="8"/>
      <c r="M8" s="36"/>
      <c r="N8" s="8"/>
      <c r="O8" s="8"/>
      <c r="P8" s="8">
        <v>28200</v>
      </c>
      <c r="Q8" s="8"/>
      <c r="R8" s="8"/>
      <c r="S8" s="8"/>
      <c r="T8" s="8"/>
      <c r="U8" s="8">
        <f>7617.6-7.22</f>
        <v>7610.38</v>
      </c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42" s="1" customFormat="1" x14ac:dyDescent="0.4">
      <c r="A9" s="19" t="s">
        <v>78</v>
      </c>
      <c r="B9" s="20"/>
      <c r="C9" s="8">
        <f>3360-13.33</f>
        <v>3346.67</v>
      </c>
      <c r="D9" s="20">
        <f>16050-3.11</f>
        <v>16046.89</v>
      </c>
      <c r="E9" s="5"/>
      <c r="F9" s="20">
        <v>1970</v>
      </c>
      <c r="G9" s="5"/>
      <c r="H9" s="20">
        <v>570</v>
      </c>
      <c r="I9" s="26"/>
      <c r="J9" s="26">
        <f>750+(6400+480)</f>
        <v>7630</v>
      </c>
      <c r="K9" s="5"/>
      <c r="L9" s="8">
        <v>1710</v>
      </c>
      <c r="M9" s="35">
        <f>9100</f>
        <v>9100</v>
      </c>
      <c r="N9" s="8"/>
      <c r="O9" s="8"/>
      <c r="P9" s="8">
        <v>1140</v>
      </c>
      <c r="Q9" s="5"/>
      <c r="R9" s="5"/>
      <c r="S9" s="5"/>
      <c r="T9" s="8">
        <v>1116.3900000000001</v>
      </c>
      <c r="U9" s="8">
        <v>3250</v>
      </c>
      <c r="V9" s="8">
        <v>1200</v>
      </c>
      <c r="W9" s="5"/>
      <c r="X9" s="5"/>
      <c r="Y9" s="5"/>
      <c r="Z9" s="5"/>
      <c r="AA9" s="8"/>
      <c r="AB9" s="8">
        <v>1800</v>
      </c>
      <c r="AC9" s="8"/>
      <c r="AD9" s="8">
        <f>1350+1400</f>
        <v>2750</v>
      </c>
      <c r="AE9" s="8">
        <v>0</v>
      </c>
      <c r="AF9" s="4"/>
      <c r="AG9" s="4"/>
    </row>
    <row r="10" spans="1:42" s="1" customFormat="1" x14ac:dyDescent="0.4">
      <c r="A10" s="19" t="s">
        <v>79</v>
      </c>
      <c r="B10" s="20"/>
      <c r="C10" s="20"/>
      <c r="D10" s="20"/>
      <c r="E10" s="5"/>
      <c r="F10" s="20">
        <f>68000*1.2-26400</f>
        <v>55200</v>
      </c>
      <c r="G10" s="8">
        <f>2270.28+23000</f>
        <v>25270.28</v>
      </c>
      <c r="H10" s="8">
        <f>12312</f>
        <v>12312</v>
      </c>
      <c r="I10" s="26">
        <f>+((720+58)*38*1.2)</f>
        <v>35476.799999999996</v>
      </c>
      <c r="J10" s="27">
        <f>630*38*1.2</f>
        <v>28728</v>
      </c>
      <c r="K10" s="26">
        <f>500*38*1.2-3.61</f>
        <v>22796.39</v>
      </c>
      <c r="L10" s="8"/>
      <c r="M10" s="35"/>
      <c r="N10" s="5"/>
      <c r="O10" s="5"/>
      <c r="P10" s="5"/>
      <c r="Q10" s="5"/>
      <c r="R10" s="5"/>
      <c r="S10" s="5"/>
      <c r="T10" s="5"/>
      <c r="U10" s="8"/>
      <c r="V10" s="5"/>
      <c r="W10" s="5"/>
      <c r="X10" s="8"/>
      <c r="Y10" s="5"/>
      <c r="Z10" s="5"/>
      <c r="AA10" s="8">
        <f>38000-38000</f>
        <v>0</v>
      </c>
      <c r="AB10" s="5"/>
      <c r="AC10" s="8"/>
      <c r="AD10" s="8">
        <f>19000*1.2</f>
        <v>22800</v>
      </c>
      <c r="AE10" s="8">
        <v>0</v>
      </c>
      <c r="AF10" s="4"/>
      <c r="AG10" s="4"/>
      <c r="AI10" s="4">
        <v>22800</v>
      </c>
    </row>
    <row r="11" spans="1:42" s="1" customFormat="1" x14ac:dyDescent="0.4">
      <c r="A11" s="19" t="s">
        <v>80</v>
      </c>
      <c r="B11" s="20"/>
      <c r="C11" s="8"/>
      <c r="D11" s="20"/>
      <c r="E11" s="20"/>
      <c r="F11" s="8"/>
      <c r="G11" s="20"/>
      <c r="H11" s="26">
        <v>1702.8</v>
      </c>
      <c r="I11" s="8">
        <v>594</v>
      </c>
      <c r="J11" s="26"/>
      <c r="K11" s="26"/>
      <c r="L11" s="26">
        <v>194.4</v>
      </c>
      <c r="M11" s="37"/>
      <c r="N11" s="5"/>
      <c r="O11" s="5"/>
      <c r="P11" s="8"/>
      <c r="Q11" s="8"/>
      <c r="R11" s="5"/>
      <c r="S11" s="5"/>
      <c r="T11" s="5"/>
      <c r="U11" s="5"/>
      <c r="V11" s="8">
        <v>420</v>
      </c>
      <c r="W11" s="5"/>
      <c r="X11" s="5"/>
      <c r="Y11" s="5"/>
      <c r="Z11" s="5"/>
      <c r="AA11" s="5"/>
      <c r="AB11" s="8">
        <v>1896.67</v>
      </c>
      <c r="AC11" s="5"/>
      <c r="AD11" s="8"/>
      <c r="AE11" s="8"/>
      <c r="AF11" s="4"/>
      <c r="AG11" s="4"/>
      <c r="AI11" s="4">
        <v>22527.599999999999</v>
      </c>
    </row>
    <row r="12" spans="1:42" s="1" customFormat="1" x14ac:dyDescent="0.4">
      <c r="A12" s="19" t="s">
        <v>81</v>
      </c>
      <c r="B12" s="20"/>
      <c r="C12" s="8">
        <f>1085.14-18</f>
        <v>1067.1400000000001</v>
      </c>
      <c r="D12" s="20">
        <f>47902-3.11</f>
        <v>47898.89</v>
      </c>
      <c r="E12" s="20"/>
      <c r="F12" s="8"/>
      <c r="G12" s="5"/>
      <c r="H12" s="5"/>
      <c r="I12" s="8"/>
      <c r="J12" s="8">
        <f>24737.07+1813.5</f>
        <v>26550.57</v>
      </c>
      <c r="K12" s="5"/>
      <c r="L12" s="8">
        <v>5826</v>
      </c>
      <c r="M12" s="36">
        <v>5400</v>
      </c>
      <c r="N12" s="8"/>
      <c r="O12" s="8"/>
      <c r="P12" s="8">
        <v>2200</v>
      </c>
      <c r="Q12" s="8"/>
      <c r="R12" s="5"/>
      <c r="S12" s="8"/>
      <c r="T12" s="8">
        <f>10974.77+1690</f>
        <v>12664.77</v>
      </c>
      <c r="U12" s="8">
        <f>45018-9.72</f>
        <v>45008.28</v>
      </c>
      <c r="V12" s="8">
        <v>4275</v>
      </c>
      <c r="W12" s="8"/>
      <c r="X12" s="8"/>
      <c r="Y12" s="8"/>
      <c r="Z12" s="8"/>
      <c r="AA12" s="8">
        <f>38000+5000-38000-5000</f>
        <v>0</v>
      </c>
      <c r="AB12" s="8">
        <f>+(38000+1250+28377.34)+3750+1400+1400+2549+2800</f>
        <v>79526.34</v>
      </c>
      <c r="AC12" s="8">
        <v>21000</v>
      </c>
      <c r="AD12" s="8">
        <f>11867+61907.86+650+1728.88+22016.51</f>
        <v>98170.25</v>
      </c>
      <c r="AE12" s="8"/>
      <c r="AF12" s="4"/>
      <c r="AG12" s="4"/>
      <c r="AH12" s="4">
        <v>31640.3</v>
      </c>
      <c r="AI12" s="4">
        <v>35970</v>
      </c>
    </row>
    <row r="13" spans="1:42" s="1" customFormat="1" x14ac:dyDescent="0.4">
      <c r="A13" s="19" t="s">
        <v>82</v>
      </c>
      <c r="B13" s="20"/>
      <c r="C13" s="20"/>
      <c r="D13" s="20"/>
      <c r="E13" s="20"/>
      <c r="F13" s="20"/>
      <c r="G13" s="20"/>
      <c r="H13" s="26"/>
      <c r="I13" s="26"/>
      <c r="J13" s="26"/>
      <c r="K13" s="26"/>
      <c r="L13" s="26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4"/>
      <c r="AG13" s="4">
        <v>10380</v>
      </c>
      <c r="AI13" s="4">
        <v>30480</v>
      </c>
    </row>
    <row r="14" spans="1:42" s="4" customFormat="1" x14ac:dyDescent="0.4">
      <c r="A14" s="19" t="s">
        <v>83</v>
      </c>
      <c r="B14" s="8"/>
      <c r="C14" s="23"/>
      <c r="D14" s="23"/>
      <c r="E14" s="23"/>
      <c r="F14" s="8"/>
      <c r="G14" s="8"/>
      <c r="H14" s="8">
        <f>22059+23907+23519-6.11</f>
        <v>69478.89</v>
      </c>
      <c r="I14" s="8"/>
      <c r="J14" s="8"/>
      <c r="K14" s="8">
        <f>66177-22059-6.11</f>
        <v>44111.89</v>
      </c>
      <c r="L14" s="8">
        <f>70577.4-23519+3450</f>
        <v>50508.399999999994</v>
      </c>
      <c r="M14" s="36">
        <v>1496</v>
      </c>
      <c r="N14" s="8"/>
      <c r="O14" s="8"/>
      <c r="P14" s="8"/>
      <c r="Q14" s="8"/>
      <c r="R14" s="8"/>
      <c r="S14" s="8"/>
      <c r="T14" s="8">
        <f>1125+1620</f>
        <v>2745</v>
      </c>
      <c r="U14" s="8"/>
      <c r="V14" s="8">
        <f>3807.4</f>
        <v>3807.4</v>
      </c>
      <c r="W14" s="8"/>
      <c r="X14" s="8"/>
      <c r="Y14" s="8"/>
      <c r="Z14" s="8"/>
      <c r="AA14" s="8"/>
      <c r="AB14" s="8"/>
      <c r="AC14" s="8"/>
      <c r="AD14" s="8"/>
      <c r="AE14" s="8"/>
    </row>
    <row r="15" spans="1:42" s="4" customFormat="1" x14ac:dyDescent="0.4">
      <c r="A15" s="19" t="s">
        <v>84</v>
      </c>
      <c r="B15" s="8"/>
      <c r="C15" s="23"/>
      <c r="D15" s="23"/>
      <c r="E15" s="23"/>
      <c r="F15" s="8"/>
      <c r="G15" s="8"/>
      <c r="H15" s="8"/>
      <c r="I15" s="8">
        <f>379.3+1812</f>
        <v>2191.3000000000002</v>
      </c>
      <c r="J15" s="8"/>
      <c r="K15" s="8"/>
      <c r="L15" s="8"/>
      <c r="M15" s="36">
        <v>408</v>
      </c>
      <c r="N15" s="8"/>
      <c r="O15" s="8"/>
      <c r="P15" s="8">
        <f>1002.24+1560</f>
        <v>2562.2399999999998</v>
      </c>
      <c r="Q15" s="8">
        <v>474.9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406.75</v>
      </c>
      <c r="AC15" s="8"/>
      <c r="AD15" s="8">
        <v>1152</v>
      </c>
      <c r="AE15" s="8"/>
    </row>
    <row r="16" spans="1:42" s="4" customFormat="1" x14ac:dyDescent="0.4">
      <c r="A16" s="19" t="s">
        <v>85</v>
      </c>
      <c r="B16" s="8"/>
      <c r="C16" s="23"/>
      <c r="D16" s="44"/>
      <c r="E16" s="23"/>
      <c r="F16" s="8"/>
      <c r="G16" s="8"/>
      <c r="H16" s="8"/>
      <c r="I16" s="8"/>
      <c r="J16" s="8">
        <f>47500*0.85*1.2-(10540*3)</f>
        <v>16830</v>
      </c>
      <c r="K16" s="8">
        <v>1613.89</v>
      </c>
      <c r="L16" s="8"/>
      <c r="M16" s="36">
        <f>3780+9300+8370</f>
        <v>21450</v>
      </c>
      <c r="N16" s="8"/>
      <c r="O16" s="8"/>
      <c r="P16" s="8">
        <f>9305</f>
        <v>9305</v>
      </c>
      <c r="Q16" s="8">
        <v>1235</v>
      </c>
      <c r="R16" s="8"/>
      <c r="S16" s="8"/>
      <c r="T16" s="8">
        <v>3330</v>
      </c>
      <c r="U16" s="8"/>
      <c r="V16" s="8">
        <v>225</v>
      </c>
      <c r="W16" s="8"/>
      <c r="X16" s="8"/>
      <c r="Y16" s="8"/>
      <c r="Z16" s="8"/>
      <c r="AA16" s="8"/>
      <c r="AB16" s="8"/>
      <c r="AC16" s="8">
        <v>2000</v>
      </c>
      <c r="AD16" s="8">
        <f>15800-3160</f>
        <v>12640</v>
      </c>
      <c r="AE16" s="8">
        <v>0</v>
      </c>
    </row>
    <row r="17" spans="1:59" s="4" customFormat="1" x14ac:dyDescent="0.4">
      <c r="A17" s="19" t="s">
        <v>86</v>
      </c>
      <c r="B17" s="8"/>
      <c r="C17" s="23"/>
      <c r="D17" s="23"/>
      <c r="E17" s="23"/>
      <c r="F17" s="8"/>
      <c r="G17" s="8"/>
      <c r="H17" s="8"/>
      <c r="I17" s="8"/>
      <c r="J17" s="8">
        <f>8000+8000+8000</f>
        <v>24000</v>
      </c>
      <c r="K17" s="8"/>
      <c r="L17" s="8">
        <v>991.2</v>
      </c>
      <c r="M17" s="8"/>
      <c r="N17" s="8"/>
      <c r="O17" s="8"/>
      <c r="P17" s="8">
        <v>-43.2</v>
      </c>
      <c r="Q17" s="8">
        <v>-13.33</v>
      </c>
      <c r="R17" s="8"/>
      <c r="S17" s="8"/>
      <c r="T17" s="8">
        <v>-24.16</v>
      </c>
      <c r="U17" s="8"/>
      <c r="V17" s="8">
        <v>-20.27</v>
      </c>
      <c r="W17" s="8"/>
      <c r="X17" s="8"/>
      <c r="Y17" s="8"/>
      <c r="Z17" s="8"/>
      <c r="AA17" s="8"/>
      <c r="AB17" s="8"/>
      <c r="AC17" s="8"/>
      <c r="AD17" s="8"/>
      <c r="AE17" s="8"/>
      <c r="AI17" s="4">
        <v>36840</v>
      </c>
      <c r="AJ17" s="4">
        <v>36840</v>
      </c>
    </row>
    <row r="18" spans="1:59" s="4" customFormat="1" x14ac:dyDescent="0.4">
      <c r="A18" s="19" t="s">
        <v>87</v>
      </c>
      <c r="B18" s="8"/>
      <c r="C18" s="23"/>
      <c r="D18" s="23"/>
      <c r="E18" s="23"/>
      <c r="F18" s="8">
        <v>-24.16</v>
      </c>
      <c r="G18" s="8"/>
      <c r="H18" s="8"/>
      <c r="I18" s="8"/>
      <c r="J18" s="8">
        <v>-78.59</v>
      </c>
      <c r="K18" s="8"/>
      <c r="L18" s="8">
        <v>-27.77</v>
      </c>
      <c r="M18" s="8">
        <v>-73.87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39600</v>
      </c>
      <c r="Y18" s="8"/>
      <c r="Z18" s="8"/>
      <c r="AA18" s="8"/>
      <c r="AB18" s="8"/>
      <c r="AC18" s="8"/>
      <c r="AD18" s="8"/>
      <c r="AE18" s="8"/>
    </row>
    <row r="19" spans="1:59" s="4" customFormat="1" x14ac:dyDescent="0.4">
      <c r="A19" s="19" t="s">
        <v>88</v>
      </c>
      <c r="B19" s="8"/>
      <c r="C19" s="23"/>
      <c r="D19" s="23"/>
      <c r="E19" s="2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2052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59" s="4" customFormat="1" x14ac:dyDescent="0.4">
      <c r="A20" s="19" t="s">
        <v>89</v>
      </c>
      <c r="B20" s="8"/>
      <c r="C20" s="23"/>
      <c r="D20" s="23"/>
      <c r="E20" s="2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2220</v>
      </c>
      <c r="W20" s="8"/>
      <c r="X20" s="8"/>
      <c r="Y20" s="8"/>
      <c r="Z20" s="8"/>
      <c r="AA20" s="8"/>
      <c r="AB20" s="8"/>
      <c r="AC20" s="8"/>
      <c r="AD20" s="8"/>
      <c r="AE20" s="8"/>
      <c r="AG20" s="4">
        <v>3720</v>
      </c>
      <c r="AH20" s="4">
        <f>7999.2</f>
        <v>7999.2</v>
      </c>
    </row>
    <row r="21" spans="1:59" s="4" customFormat="1" x14ac:dyDescent="0.4">
      <c r="A21" s="19" t="s">
        <v>90</v>
      </c>
      <c r="B21" s="8"/>
      <c r="C21" s="23"/>
      <c r="D21" s="23"/>
      <c r="E21" s="2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16321.15</v>
      </c>
      <c r="W21" s="8"/>
      <c r="X21" s="8"/>
      <c r="Y21" s="8"/>
      <c r="Z21" s="8"/>
      <c r="AA21" s="8"/>
      <c r="AB21" s="8"/>
      <c r="AC21" s="8"/>
      <c r="AD21" s="8"/>
      <c r="AE21" s="8"/>
    </row>
    <row r="22" spans="1:59" s="4" customFormat="1" x14ac:dyDescent="0.4">
      <c r="A22" s="19" t="s">
        <v>91</v>
      </c>
      <c r="B22" s="8"/>
      <c r="C22" s="23"/>
      <c r="D22" s="23"/>
      <c r="E22" s="2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f>45000</f>
        <v>45000</v>
      </c>
      <c r="AJ22" s="4">
        <f>2875*1.2*3</f>
        <v>10350</v>
      </c>
    </row>
    <row r="23" spans="1:59" s="4" customFormat="1" x14ac:dyDescent="0.4">
      <c r="A23" s="19" t="s">
        <v>92</v>
      </c>
      <c r="B23" s="8"/>
      <c r="C23" s="23"/>
      <c r="D23" s="23"/>
      <c r="E23" s="23"/>
      <c r="F23" s="8"/>
      <c r="G23" s="8"/>
      <c r="H23" s="8"/>
      <c r="I23" s="8"/>
      <c r="J23" s="8">
        <v>-131363.04</v>
      </c>
      <c r="K23" s="8">
        <v>131363.04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0</v>
      </c>
      <c r="AD23" s="8"/>
      <c r="AE23" s="8"/>
      <c r="AH23" s="4">
        <f>5666.66666666667*2+9800</f>
        <v>21133.333333333339</v>
      </c>
    </row>
    <row r="24" spans="1:59" s="4" customFormat="1" x14ac:dyDescent="0.4">
      <c r="A24" s="19" t="s">
        <v>93</v>
      </c>
      <c r="B24" s="8"/>
      <c r="C24" s="23"/>
      <c r="D24" s="23"/>
      <c r="E24" s="2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0</v>
      </c>
      <c r="AD24" s="8"/>
      <c r="AE24" s="8"/>
      <c r="AH24" s="4">
        <v>5400</v>
      </c>
    </row>
    <row r="25" spans="1:59" s="4" customFormat="1" x14ac:dyDescent="0.4">
      <c r="A25" s="19" t="s">
        <v>94</v>
      </c>
      <c r="B25" s="8"/>
      <c r="C25" s="23"/>
      <c r="D25" s="23"/>
      <c r="E25" s="2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59" s="18" customFormat="1" x14ac:dyDescent="0.4">
      <c r="A26" s="21" t="s">
        <v>45</v>
      </c>
      <c r="B26" s="5">
        <f t="shared" ref="B26:I26" si="0">SUM(B3:B18)</f>
        <v>0</v>
      </c>
      <c r="C26" s="5">
        <f t="shared" si="0"/>
        <v>31418.92</v>
      </c>
      <c r="D26" s="5">
        <f t="shared" si="0"/>
        <v>95918.88</v>
      </c>
      <c r="E26" s="5">
        <f t="shared" si="0"/>
        <v>18463.060000000001</v>
      </c>
      <c r="F26" s="5">
        <f t="shared" si="0"/>
        <v>90978.16</v>
      </c>
      <c r="G26" s="5">
        <f t="shared" si="0"/>
        <v>25270.28</v>
      </c>
      <c r="H26" s="5">
        <f t="shared" si="0"/>
        <v>90669.53</v>
      </c>
      <c r="I26" s="5">
        <f t="shared" si="0"/>
        <v>38262.1</v>
      </c>
      <c r="J26" s="5">
        <f>SUM(J3:J23)</f>
        <v>0</v>
      </c>
      <c r="K26" s="5">
        <f>SUM(K3:K23)</f>
        <v>229164.1</v>
      </c>
      <c r="L26" s="5">
        <f t="shared" ref="L26:U26" si="1">SUM(L3:L19)</f>
        <v>60782.229999999996</v>
      </c>
      <c r="M26" s="5">
        <f t="shared" si="1"/>
        <v>53370.13</v>
      </c>
      <c r="N26" s="5">
        <f t="shared" si="1"/>
        <v>0</v>
      </c>
      <c r="O26" s="5">
        <f t="shared" si="1"/>
        <v>54674</v>
      </c>
      <c r="P26" s="5">
        <f t="shared" si="1"/>
        <v>92154.540000000008</v>
      </c>
      <c r="Q26" s="5">
        <f t="shared" si="1"/>
        <v>6544.57</v>
      </c>
      <c r="R26" s="5">
        <f t="shared" si="1"/>
        <v>0</v>
      </c>
      <c r="S26" s="5">
        <f t="shared" si="1"/>
        <v>6322.69</v>
      </c>
      <c r="T26" s="5">
        <f t="shared" si="1"/>
        <v>23480</v>
      </c>
      <c r="U26" s="5">
        <f t="shared" si="1"/>
        <v>57788.66</v>
      </c>
      <c r="V26" s="5">
        <f t="shared" ref="V26:AA26" si="2">SUM(V3:V23)</f>
        <v>67181.95</v>
      </c>
      <c r="W26" s="5">
        <f t="shared" si="2"/>
        <v>0</v>
      </c>
      <c r="X26" s="5">
        <f t="shared" si="2"/>
        <v>39600</v>
      </c>
      <c r="Y26" s="5">
        <f t="shared" si="2"/>
        <v>0</v>
      </c>
      <c r="Z26" s="5">
        <f t="shared" si="2"/>
        <v>0</v>
      </c>
      <c r="AA26" s="5">
        <f t="shared" si="2"/>
        <v>0</v>
      </c>
      <c r="AB26" s="5">
        <f>SUM(AB3:AB24)</f>
        <v>108239.2</v>
      </c>
      <c r="AC26" s="5">
        <f>SUM(AC3:AC24)</f>
        <v>23000</v>
      </c>
      <c r="AD26" s="5">
        <f>SUM(AD3:AD24)</f>
        <v>137512.25</v>
      </c>
      <c r="AE26" s="5">
        <f t="shared" ref="AE26:AN26" si="3">SUM(AE3:AE25)</f>
        <v>86506.81</v>
      </c>
      <c r="AF26" s="5">
        <f t="shared" si="3"/>
        <v>35992.800000000003</v>
      </c>
      <c r="AG26" s="5">
        <f t="shared" si="3"/>
        <v>118627.63</v>
      </c>
      <c r="AH26" s="5">
        <f t="shared" si="3"/>
        <v>297548.83333333331</v>
      </c>
      <c r="AI26" s="5">
        <f t="shared" si="3"/>
        <v>148617.60000000001</v>
      </c>
      <c r="AJ26" s="5">
        <f t="shared" si="3"/>
        <v>47190</v>
      </c>
      <c r="AK26" s="5">
        <f t="shared" si="3"/>
        <v>0</v>
      </c>
      <c r="AL26" s="5">
        <f t="shared" si="3"/>
        <v>0</v>
      </c>
      <c r="AM26" s="5">
        <f t="shared" si="3"/>
        <v>110000</v>
      </c>
      <c r="AN26" s="5">
        <f t="shared" si="3"/>
        <v>0</v>
      </c>
      <c r="AO26" s="5">
        <f t="shared" ref="AO26:AP26" si="4">SUM(AO3:AO25)</f>
        <v>0</v>
      </c>
      <c r="AP26" s="5">
        <f t="shared" si="4"/>
        <v>0</v>
      </c>
    </row>
    <row r="28" spans="1:59" s="1" customFormat="1" x14ac:dyDescent="0.4">
      <c r="A28" s="9"/>
      <c r="B28" s="9"/>
      <c r="C28" s="10"/>
      <c r="D28" s="13"/>
      <c r="E28" s="10"/>
      <c r="F28" s="10"/>
      <c r="G28" s="11" t="s">
        <v>51</v>
      </c>
      <c r="I28" s="11" t="s">
        <v>52</v>
      </c>
      <c r="J28" s="11"/>
      <c r="K28" s="11"/>
      <c r="L28" s="11"/>
      <c r="M28" s="11"/>
    </row>
    <row r="29" spans="1:59" s="32" customFormat="1" x14ac:dyDescent="0.4">
      <c r="A29" s="31" t="s">
        <v>104</v>
      </c>
      <c r="C29" s="33" t="s">
        <v>53</v>
      </c>
      <c r="D29" s="33" t="s">
        <v>53</v>
      </c>
      <c r="E29" s="33" t="s">
        <v>53</v>
      </c>
      <c r="F29" s="33" t="s">
        <v>53</v>
      </c>
      <c r="G29" s="33" t="s">
        <v>53</v>
      </c>
      <c r="H29" s="33" t="s">
        <v>53</v>
      </c>
      <c r="I29" s="33" t="s">
        <v>53</v>
      </c>
      <c r="J29" s="33" t="s">
        <v>53</v>
      </c>
      <c r="K29" s="33" t="s">
        <v>53</v>
      </c>
      <c r="L29" s="33" t="s">
        <v>53</v>
      </c>
      <c r="M29" s="33" t="s">
        <v>53</v>
      </c>
      <c r="N29" s="33" t="s">
        <v>53</v>
      </c>
      <c r="O29" s="33" t="s">
        <v>53</v>
      </c>
      <c r="P29" s="33" t="s">
        <v>53</v>
      </c>
      <c r="Q29" s="33" t="s">
        <v>53</v>
      </c>
      <c r="R29" s="33" t="s">
        <v>53</v>
      </c>
      <c r="S29" s="33" t="s">
        <v>53</v>
      </c>
      <c r="T29" s="33" t="s">
        <v>53</v>
      </c>
      <c r="U29" s="33" t="s">
        <v>53</v>
      </c>
      <c r="V29" s="33" t="s">
        <v>53</v>
      </c>
      <c r="W29" s="32" t="str">
        <f t="shared" ref="W29:AO29" si="5">+W1</f>
        <v>Consuntivato</v>
      </c>
      <c r="X29" s="32" t="str">
        <f t="shared" si="5"/>
        <v>Consuntivato</v>
      </c>
      <c r="Y29" s="45" t="str">
        <f t="shared" si="5"/>
        <v>Consuntivato</v>
      </c>
      <c r="Z29" s="45" t="str">
        <f t="shared" si="5"/>
        <v>Consuntivato</v>
      </c>
      <c r="AA29" s="45" t="str">
        <f t="shared" si="5"/>
        <v>Consuntivato</v>
      </c>
      <c r="AB29" s="45" t="str">
        <f t="shared" si="5"/>
        <v>Consuntivato</v>
      </c>
      <c r="AC29" s="45" t="str">
        <f t="shared" si="5"/>
        <v>Consuntivato</v>
      </c>
      <c r="AD29" s="45" t="str">
        <f t="shared" si="5"/>
        <v>Consuntivato</v>
      </c>
      <c r="AE29" s="45" t="str">
        <f t="shared" si="5"/>
        <v>Consuntivato</v>
      </c>
      <c r="AF29" s="45" t="str">
        <f t="shared" si="5"/>
        <v>Consuntivato</v>
      </c>
      <c r="AG29" s="45">
        <f t="shared" si="5"/>
        <v>0</v>
      </c>
      <c r="AH29" s="45">
        <f t="shared" si="5"/>
        <v>0</v>
      </c>
      <c r="AI29" s="45">
        <f t="shared" si="5"/>
        <v>0</v>
      </c>
      <c r="AJ29" s="45">
        <f t="shared" si="5"/>
        <v>0</v>
      </c>
      <c r="AK29" s="45">
        <f t="shared" si="5"/>
        <v>0</v>
      </c>
      <c r="AL29" s="45">
        <f t="shared" si="5"/>
        <v>0</v>
      </c>
      <c r="AM29" s="45">
        <f t="shared" si="5"/>
        <v>0</v>
      </c>
      <c r="AN29" s="45">
        <f t="shared" si="5"/>
        <v>0</v>
      </c>
      <c r="AO29" s="45">
        <f t="shared" si="5"/>
        <v>0</v>
      </c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</row>
    <row r="30" spans="1:59" s="15" customFormat="1" ht="15" x14ac:dyDescent="0.5">
      <c r="A30" s="16">
        <f t="shared" ref="A30:A53" si="6">+A2</f>
        <v>2019</v>
      </c>
      <c r="B30" s="2">
        <v>4</v>
      </c>
      <c r="C30" s="2">
        <v>5</v>
      </c>
      <c r="D30" s="2">
        <v>6</v>
      </c>
      <c r="E30" s="2">
        <v>7</v>
      </c>
      <c r="F30" s="2">
        <v>8</v>
      </c>
      <c r="G30" s="2">
        <v>9</v>
      </c>
      <c r="H30" s="2">
        <v>10</v>
      </c>
      <c r="I30" s="2">
        <v>11</v>
      </c>
      <c r="J30" s="2">
        <v>12</v>
      </c>
      <c r="K30" s="22">
        <v>1</v>
      </c>
      <c r="L30" s="22">
        <v>2</v>
      </c>
      <c r="M30" s="22">
        <v>3</v>
      </c>
      <c r="N30" s="22">
        <v>4</v>
      </c>
      <c r="O30" s="22">
        <v>5</v>
      </c>
      <c r="P30" s="22">
        <v>6</v>
      </c>
      <c r="Q30" s="22">
        <v>7</v>
      </c>
      <c r="R30" s="22">
        <v>8</v>
      </c>
      <c r="S30" s="22">
        <v>9</v>
      </c>
      <c r="T30" s="22">
        <v>10</v>
      </c>
      <c r="U30" s="22">
        <v>11</v>
      </c>
      <c r="V30" s="22">
        <v>12</v>
      </c>
      <c r="W30" s="22">
        <v>1</v>
      </c>
      <c r="X30" s="22">
        <v>2</v>
      </c>
      <c r="Y30" s="22">
        <v>3</v>
      </c>
      <c r="Z30" s="22">
        <v>4</v>
      </c>
      <c r="AA30" s="22">
        <v>5</v>
      </c>
      <c r="AB30" s="22">
        <v>6</v>
      </c>
      <c r="AC30" s="22">
        <v>7</v>
      </c>
      <c r="AD30" s="22">
        <v>8</v>
      </c>
      <c r="AE30" s="22">
        <v>9</v>
      </c>
      <c r="AF30" s="22">
        <v>10</v>
      </c>
      <c r="AG30" s="22">
        <v>11</v>
      </c>
      <c r="AH30" s="22">
        <v>12</v>
      </c>
      <c r="AI30" s="22">
        <v>1</v>
      </c>
      <c r="AJ30" s="22">
        <v>2</v>
      </c>
      <c r="AK30" s="22">
        <v>3</v>
      </c>
      <c r="AL30" s="22">
        <v>4</v>
      </c>
      <c r="AM30" s="22">
        <v>5</v>
      </c>
      <c r="AN30" s="22">
        <v>6</v>
      </c>
      <c r="AO30" s="22">
        <v>7</v>
      </c>
      <c r="AP30" s="22">
        <v>8</v>
      </c>
    </row>
    <row r="31" spans="1:59" s="1" customFormat="1" x14ac:dyDescent="0.4">
      <c r="A31" s="9" t="str">
        <f t="shared" si="6"/>
        <v>Cliente 1</v>
      </c>
      <c r="B31" s="10"/>
      <c r="C31" s="13"/>
      <c r="D31" s="13"/>
      <c r="E31" s="13"/>
      <c r="F31" s="10"/>
      <c r="G31" s="10"/>
      <c r="H31" s="11"/>
      <c r="I31" s="11"/>
      <c r="J31" s="11"/>
      <c r="K31" s="11"/>
      <c r="L31" s="25"/>
      <c r="M31" s="11"/>
      <c r="P31" s="4"/>
    </row>
    <row r="32" spans="1:59" s="4" customFormat="1" x14ac:dyDescent="0.4">
      <c r="A32" s="9" t="str">
        <f t="shared" si="6"/>
        <v>Cliente 2</v>
      </c>
      <c r="C32" s="12">
        <v>5378.77</v>
      </c>
      <c r="D32" s="12"/>
      <c r="E32" s="12"/>
      <c r="H32" s="8"/>
      <c r="J32" s="8"/>
      <c r="K32" s="8"/>
      <c r="L32" s="8"/>
      <c r="M32" s="8"/>
      <c r="N32" s="8"/>
      <c r="O32" s="8"/>
      <c r="P32" s="8"/>
      <c r="T32" s="8"/>
      <c r="AB32" s="4">
        <f>+AA4/3</f>
        <v>0</v>
      </c>
      <c r="AC32" s="4">
        <f>+AA4/3</f>
        <v>0</v>
      </c>
      <c r="AD32" s="8"/>
      <c r="AE32" s="8">
        <f>+AC4/2</f>
        <v>0</v>
      </c>
      <c r="AF32" s="8">
        <f>+AC4/2</f>
        <v>0</v>
      </c>
      <c r="AG32" s="8"/>
      <c r="AH32" s="8"/>
      <c r="AI32" s="8"/>
      <c r="AJ32" s="4">
        <v>35992.800000000003</v>
      </c>
      <c r="AK32" s="4">
        <v>74412</v>
      </c>
      <c r="AL32" s="4">
        <v>200376</v>
      </c>
    </row>
    <row r="33" spans="1:40" s="1" customFormat="1" x14ac:dyDescent="0.4">
      <c r="A33" s="9" t="str">
        <f t="shared" si="6"/>
        <v>Cliente 3</v>
      </c>
      <c r="B33" s="10"/>
      <c r="C33" s="13"/>
      <c r="D33" s="12">
        <v>9623.0400000000009</v>
      </c>
      <c r="E33" s="12">
        <v>68824.740000000005</v>
      </c>
      <c r="F33" s="10">
        <v>24644.720000000001</v>
      </c>
      <c r="G33" s="10"/>
      <c r="H33" s="20">
        <v>31608.21</v>
      </c>
      <c r="I33" s="10">
        <v>31992.71</v>
      </c>
      <c r="J33" s="24"/>
      <c r="K33" s="24"/>
      <c r="L33" s="5"/>
      <c r="M33" s="20"/>
      <c r="N33" s="5"/>
      <c r="O33" s="8">
        <v>29278.89</v>
      </c>
      <c r="P33" s="8"/>
      <c r="Q33" s="8">
        <f>12650+2376-12655</f>
        <v>2371</v>
      </c>
      <c r="R33" s="8"/>
      <c r="S33" s="8">
        <f>52298+8100</f>
        <v>60398</v>
      </c>
      <c r="T33" s="8">
        <f>47487.5</f>
        <v>47487.5</v>
      </c>
      <c r="U33" s="4"/>
      <c r="V33" s="4"/>
      <c r="W33" s="4"/>
      <c r="X33" s="4"/>
      <c r="Y33" s="4"/>
      <c r="Z33" s="4">
        <v>27993.89</v>
      </c>
      <c r="AA33" s="4"/>
      <c r="AB33" s="4"/>
      <c r="AC33" s="4"/>
      <c r="AD33" s="8"/>
      <c r="AE33" s="8">
        <f>+AB5</f>
        <v>24609.439999999999</v>
      </c>
      <c r="AF33" s="8"/>
      <c r="AG33" s="8">
        <f t="shared" ref="AG33:AL33" si="7">+AC5</f>
        <v>0</v>
      </c>
      <c r="AH33" s="8">
        <f t="shared" si="7"/>
        <v>0</v>
      </c>
      <c r="AI33" s="8">
        <f t="shared" si="7"/>
        <v>41506.81</v>
      </c>
      <c r="AJ33" s="4">
        <f t="shared" si="7"/>
        <v>0</v>
      </c>
      <c r="AK33" s="4">
        <f t="shared" si="7"/>
        <v>30115.63</v>
      </c>
      <c r="AL33" s="4">
        <f t="shared" si="7"/>
        <v>31000</v>
      </c>
      <c r="AN33" s="1">
        <v>110000</v>
      </c>
    </row>
    <row r="34" spans="1:40" s="1" customFormat="1" x14ac:dyDescent="0.4">
      <c r="A34" s="9" t="str">
        <f t="shared" si="6"/>
        <v>Cliente 4</v>
      </c>
      <c r="B34" s="10"/>
      <c r="C34" s="13"/>
      <c r="D34" s="13"/>
      <c r="E34" s="13">
        <v>2364</v>
      </c>
      <c r="F34" s="4">
        <v>4620</v>
      </c>
      <c r="G34" s="4">
        <f>372+1296</f>
        <v>1668</v>
      </c>
      <c r="H34" s="26">
        <v>4616.3900000000003</v>
      </c>
      <c r="I34" s="25">
        <f>3850*1.2-3.61</f>
        <v>4616.3900000000003</v>
      </c>
      <c r="J34" s="26">
        <f>3850*1.2+1152+816</f>
        <v>6588</v>
      </c>
      <c r="K34" s="26">
        <f>3850*1.2+3615*1.2</f>
        <v>8958</v>
      </c>
      <c r="L34" s="26">
        <f>3850*1.2</f>
        <v>4620</v>
      </c>
      <c r="M34" s="26">
        <f>3850*1.2</f>
        <v>4620</v>
      </c>
      <c r="N34" s="26">
        <f>3850*1.2</f>
        <v>4620</v>
      </c>
      <c r="O34" s="26">
        <f>1580+4620</f>
        <v>6200</v>
      </c>
      <c r="P34" s="26">
        <f>3850*1.2+1550+250</f>
        <v>6420</v>
      </c>
      <c r="Q34" s="26"/>
      <c r="R34" s="8">
        <v>2929</v>
      </c>
      <c r="S34" s="8">
        <f>2929</f>
        <v>2929</v>
      </c>
      <c r="T34" s="8">
        <f>2424-13.93+2424</f>
        <v>4834.07</v>
      </c>
      <c r="V34" s="4">
        <f>1596</f>
        <v>1596</v>
      </c>
      <c r="X34" s="4">
        <f>1920+2615.89</f>
        <v>4535.8899999999994</v>
      </c>
      <c r="Y34" s="4">
        <f>2615.89+2886</f>
        <v>5501.8899999999994</v>
      </c>
      <c r="Z34" s="4">
        <v>2615.89</v>
      </c>
      <c r="AA34" s="4"/>
      <c r="AD34" s="5"/>
      <c r="AE34" s="5"/>
      <c r="AF34" s="5"/>
      <c r="AG34" s="5"/>
      <c r="AH34" s="8"/>
      <c r="AI34" s="8"/>
    </row>
    <row r="35" spans="1:40" s="1" customFormat="1" x14ac:dyDescent="0.4">
      <c r="A35" s="9" t="str">
        <f t="shared" si="6"/>
        <v>Cliente 5</v>
      </c>
      <c r="B35" s="10"/>
      <c r="C35" s="13"/>
      <c r="D35" s="13"/>
      <c r="E35" s="13"/>
      <c r="F35" s="10"/>
      <c r="G35" s="25">
        <v>540</v>
      </c>
      <c r="H35" s="5"/>
      <c r="I35" s="11"/>
      <c r="J35" s="26"/>
      <c r="K35" s="26"/>
      <c r="L35" s="26"/>
      <c r="M35" s="26"/>
      <c r="N35" s="5"/>
      <c r="O35" s="26">
        <f>950*1.2</f>
        <v>1140</v>
      </c>
      <c r="P35" s="5"/>
      <c r="Q35" s="5"/>
      <c r="R35" s="5"/>
      <c r="S35" s="5"/>
      <c r="T35" s="5"/>
      <c r="V35" s="4">
        <v>6322.8</v>
      </c>
      <c r="AD35" s="5"/>
      <c r="AE35" s="5"/>
      <c r="AF35" s="5"/>
      <c r="AG35" s="5"/>
      <c r="AH35" s="5"/>
      <c r="AI35" s="5"/>
    </row>
    <row r="36" spans="1:40" s="4" customFormat="1" x14ac:dyDescent="0.4">
      <c r="A36" s="9" t="str">
        <f t="shared" si="6"/>
        <v>Cliente 6</v>
      </c>
      <c r="C36" s="12"/>
      <c r="D36" s="12">
        <v>3984</v>
      </c>
      <c r="E36" s="12"/>
      <c r="H36" s="8"/>
      <c r="J36" s="8"/>
      <c r="K36" s="8"/>
      <c r="L36" s="8"/>
      <c r="M36" s="8"/>
      <c r="N36" s="8"/>
      <c r="O36" s="8"/>
      <c r="P36" s="8"/>
      <c r="Q36" s="8"/>
      <c r="R36" s="8">
        <v>14100</v>
      </c>
      <c r="S36" s="8">
        <f>14100</f>
        <v>14100</v>
      </c>
      <c r="T36" s="8"/>
      <c r="Y36" s="4">
        <f>+U8</f>
        <v>7610.38</v>
      </c>
      <c r="AD36" s="8"/>
      <c r="AE36" s="8"/>
      <c r="AF36" s="8"/>
      <c r="AG36" s="8"/>
      <c r="AH36" s="8"/>
      <c r="AI36" s="8"/>
    </row>
    <row r="37" spans="1:40" s="1" customFormat="1" x14ac:dyDescent="0.4">
      <c r="A37" s="9" t="str">
        <f t="shared" si="6"/>
        <v>Cliente 7</v>
      </c>
      <c r="B37" s="10"/>
      <c r="C37" s="13">
        <v>2414</v>
      </c>
      <c r="D37" s="13">
        <f>4800+3290</f>
        <v>8090</v>
      </c>
      <c r="E37" s="10">
        <v>3360</v>
      </c>
      <c r="G37" s="10">
        <f>16040+1970</f>
        <v>18010</v>
      </c>
      <c r="H37" s="5"/>
      <c r="I37" s="26"/>
      <c r="J37" s="26">
        <v>1970</v>
      </c>
      <c r="K37" s="26">
        <v>570</v>
      </c>
      <c r="L37" s="26">
        <v>480</v>
      </c>
      <c r="M37" s="8">
        <f>6400+750</f>
        <v>7150</v>
      </c>
      <c r="O37" s="5"/>
      <c r="P37" s="8">
        <f>1710+2020+2240</f>
        <v>5970</v>
      </c>
      <c r="Q37" s="8">
        <f>9100-2020-2240</f>
        <v>4840</v>
      </c>
      <c r="R37" s="8"/>
      <c r="S37" s="8">
        <v>1140</v>
      </c>
      <c r="T37" s="5"/>
      <c r="W37" s="4">
        <v>1116.3900000000001</v>
      </c>
      <c r="Y37" s="4">
        <v>3250</v>
      </c>
      <c r="Z37" s="4">
        <v>1200</v>
      </c>
      <c r="AD37" s="5"/>
      <c r="AE37" s="8">
        <v>1800</v>
      </c>
      <c r="AF37" s="8"/>
      <c r="AG37" s="8">
        <v>1350</v>
      </c>
      <c r="AH37" s="8">
        <v>1400</v>
      </c>
      <c r="AI37" s="8"/>
      <c r="AJ37" s="4"/>
      <c r="AK37" s="4"/>
      <c r="AL37" s="4"/>
    </row>
    <row r="38" spans="1:40" s="1" customFormat="1" x14ac:dyDescent="0.4">
      <c r="A38" s="9" t="str">
        <f t="shared" si="6"/>
        <v>Cliente 8</v>
      </c>
      <c r="B38" s="10">
        <v>26400</v>
      </c>
      <c r="C38" s="13"/>
      <c r="D38" s="14"/>
      <c r="E38" s="14"/>
      <c r="G38" s="10">
        <f>32200-20.55+23000</f>
        <v>55179.45</v>
      </c>
      <c r="H38" s="20">
        <v>1133.8900000000001</v>
      </c>
      <c r="I38" s="10">
        <f>1136.39+22993.89</f>
        <v>24130.28</v>
      </c>
      <c r="J38" s="26">
        <f>+(270*38*1.2)</f>
        <v>12312</v>
      </c>
      <c r="K38" s="26">
        <f>+((720+58)*38*1.2)</f>
        <v>35476.799999999996</v>
      </c>
      <c r="L38" s="26">
        <v>28728</v>
      </c>
      <c r="M38" s="8"/>
      <c r="N38" s="26">
        <f>(500*38*1.2)-3.61</f>
        <v>22796.39</v>
      </c>
      <c r="O38" s="26"/>
      <c r="P38" s="5"/>
      <c r="Q38" s="5"/>
      <c r="R38" s="5"/>
      <c r="S38" s="5"/>
      <c r="T38" s="5"/>
      <c r="X38" s="4"/>
      <c r="AA38" s="4"/>
      <c r="AD38" s="8"/>
      <c r="AE38" s="5"/>
      <c r="AF38" s="8"/>
      <c r="AG38" s="8"/>
      <c r="AH38" s="8">
        <v>22800</v>
      </c>
      <c r="AI38" s="8"/>
      <c r="AJ38" s="4"/>
      <c r="AK38" s="4"/>
      <c r="AL38" s="4"/>
      <c r="AM38" s="4">
        <v>22800</v>
      </c>
    </row>
    <row r="39" spans="1:40" s="1" customFormat="1" x14ac:dyDescent="0.4">
      <c r="A39" s="9" t="str">
        <f t="shared" si="6"/>
        <v>Cliente 9</v>
      </c>
      <c r="B39" s="10"/>
      <c r="C39" s="12">
        <v>612</v>
      </c>
      <c r="D39" s="13">
        <v>888</v>
      </c>
      <c r="E39" s="13"/>
      <c r="G39" s="10"/>
      <c r="H39" s="24"/>
      <c r="I39" s="11"/>
      <c r="J39" s="26"/>
      <c r="K39" s="26">
        <f>594</f>
        <v>594</v>
      </c>
      <c r="L39" s="26"/>
      <c r="M39" s="26">
        <f>1613.89</f>
        <v>1613.89</v>
      </c>
      <c r="N39" s="5"/>
      <c r="O39" s="8">
        <v>194.4</v>
      </c>
      <c r="P39" s="5"/>
      <c r="Q39" s="5"/>
      <c r="R39" s="5"/>
      <c r="S39" s="8"/>
      <c r="T39" s="8"/>
      <c r="Y39" s="4">
        <v>420</v>
      </c>
      <c r="AD39" s="8">
        <v>1896.67</v>
      </c>
      <c r="AE39" s="5"/>
      <c r="AF39" s="5"/>
      <c r="AG39" s="8"/>
      <c r="AH39" s="8"/>
      <c r="AI39" s="8"/>
      <c r="AJ39" s="4"/>
      <c r="AK39" s="4"/>
      <c r="AL39" s="4">
        <v>22527.599999999999</v>
      </c>
    </row>
    <row r="40" spans="1:40" s="1" customFormat="1" x14ac:dyDescent="0.4">
      <c r="A40" s="9" t="str">
        <f t="shared" si="6"/>
        <v>Cliente 10</v>
      </c>
      <c r="B40" s="10"/>
      <c r="C40" s="14"/>
      <c r="D40" s="14"/>
      <c r="E40" s="13">
        <v>1085.1400000000001</v>
      </c>
      <c r="G40" s="10">
        <f>47902-3.11-0.22</f>
        <v>47898.67</v>
      </c>
      <c r="H40" s="10"/>
      <c r="I40" s="25"/>
      <c r="J40" s="26"/>
      <c r="K40" s="5"/>
      <c r="L40" s="8">
        <v>1813.5</v>
      </c>
      <c r="M40" s="8">
        <v>24730.959999999999</v>
      </c>
      <c r="N40" s="8"/>
      <c r="O40" s="8">
        <v>5826</v>
      </c>
      <c r="P40" s="8">
        <v>5400</v>
      </c>
      <c r="Q40" s="8"/>
      <c r="R40" s="8">
        <v>2200</v>
      </c>
      <c r="S40" s="5"/>
      <c r="T40" s="5"/>
      <c r="U40" s="4"/>
      <c r="V40" s="4">
        <v>1690</v>
      </c>
      <c r="W40" s="4"/>
      <c r="X40" s="4">
        <f>45018-9.72+10974.77</f>
        <v>55983.05</v>
      </c>
      <c r="Y40" s="4">
        <v>4275</v>
      </c>
      <c r="Z40" s="4"/>
      <c r="AA40" s="4"/>
      <c r="AB40" s="4"/>
      <c r="AC40" s="4"/>
      <c r="AD40" s="8"/>
      <c r="AE40" s="8">
        <f>2800+21599.5</f>
        <v>24399.5</v>
      </c>
      <c r="AF40" s="8">
        <f>3750+28377.34+1400+21599.5</f>
        <v>55126.84</v>
      </c>
      <c r="AG40" s="8"/>
      <c r="AH40" s="8">
        <f>21000+650+22016.51</f>
        <v>43666.509999999995</v>
      </c>
      <c r="AI40" s="8">
        <f>11867+61907.86+1728.88+AE12</f>
        <v>75503.740000000005</v>
      </c>
      <c r="AJ40" s="4"/>
      <c r="AK40" s="4"/>
      <c r="AL40" s="4"/>
      <c r="AM40" s="4">
        <v>31640.3</v>
      </c>
      <c r="AN40" s="4">
        <v>35970</v>
      </c>
    </row>
    <row r="41" spans="1:40" s="1" customFormat="1" x14ac:dyDescent="0.4">
      <c r="A41" s="9" t="str">
        <f t="shared" si="6"/>
        <v>Cliente 11</v>
      </c>
      <c r="B41" s="10"/>
      <c r="C41" s="10"/>
      <c r="D41" s="10"/>
      <c r="E41" s="10"/>
      <c r="F41" s="10"/>
      <c r="G41" s="10"/>
      <c r="H41" s="11"/>
      <c r="I41" s="11"/>
      <c r="J41" s="24"/>
      <c r="K41" s="24"/>
      <c r="L41" s="26"/>
      <c r="M41" s="26"/>
      <c r="N41" s="5"/>
      <c r="O41" s="5"/>
      <c r="P41" s="5"/>
      <c r="Q41" s="5"/>
      <c r="R41" s="5"/>
      <c r="S41" s="5"/>
      <c r="T41" s="5"/>
      <c r="AD41" s="5"/>
      <c r="AE41" s="5"/>
      <c r="AF41" s="5"/>
      <c r="AG41" s="8"/>
      <c r="AH41" s="8"/>
      <c r="AI41" s="8">
        <v>3460</v>
      </c>
      <c r="AJ41" s="8">
        <v>3460</v>
      </c>
      <c r="AK41" s="8">
        <f>3460+$AI$13/3</f>
        <v>13620</v>
      </c>
      <c r="AL41" s="8">
        <f>+$AI$13/3</f>
        <v>10160</v>
      </c>
      <c r="AM41" s="8">
        <f>+$AI$13/3</f>
        <v>10160</v>
      </c>
    </row>
    <row r="42" spans="1:40" s="4" customFormat="1" x14ac:dyDescent="0.4">
      <c r="A42" s="9" t="str">
        <f t="shared" si="6"/>
        <v>Cliente 12</v>
      </c>
      <c r="C42" s="12">
        <f>25171.39+50375.89</f>
        <v>75547.28</v>
      </c>
      <c r="D42" s="12">
        <f>50382+2800</f>
        <v>53182</v>
      </c>
      <c r="E42" s="12"/>
      <c r="J42" s="8">
        <f>22059+23907+23519-6.11</f>
        <v>69478.89</v>
      </c>
      <c r="K42" s="8"/>
      <c r="L42" s="8"/>
      <c r="M42" s="8">
        <v>44111.89</v>
      </c>
      <c r="O42" s="8">
        <v>50508.4</v>
      </c>
      <c r="P42" s="8">
        <v>1496</v>
      </c>
      <c r="Q42" s="8"/>
      <c r="R42" s="8"/>
      <c r="S42" s="8"/>
      <c r="T42" s="8"/>
      <c r="V42" s="4">
        <f>1125+1620</f>
        <v>2745</v>
      </c>
      <c r="Y42" s="4">
        <v>3800.28</v>
      </c>
      <c r="Z42" s="43"/>
      <c r="AD42" s="8"/>
      <c r="AE42" s="8"/>
      <c r="AF42" s="8"/>
      <c r="AG42" s="8"/>
      <c r="AH42" s="8"/>
      <c r="AI42" s="8"/>
    </row>
    <row r="43" spans="1:40" s="1" customFormat="1" x14ac:dyDescent="0.4">
      <c r="A43" s="9" t="str">
        <f t="shared" si="6"/>
        <v>Cliente 13</v>
      </c>
      <c r="B43" s="10"/>
      <c r="C43" s="10"/>
      <c r="D43" s="10"/>
      <c r="E43" s="10"/>
      <c r="F43" s="10"/>
      <c r="G43" s="10"/>
      <c r="H43" s="11"/>
      <c r="I43" s="11"/>
      <c r="J43" s="24"/>
      <c r="K43" s="26">
        <f>379.3+1812</f>
        <v>2191.3000000000002</v>
      </c>
      <c r="L43" s="26"/>
      <c r="M43" s="26"/>
      <c r="N43" s="5"/>
      <c r="O43" s="5"/>
      <c r="P43" s="8"/>
      <c r="Q43" s="8">
        <v>408</v>
      </c>
      <c r="R43" s="8">
        <f>1002.24+1560</f>
        <v>2562.2399999999998</v>
      </c>
      <c r="S43" s="5"/>
      <c r="T43" s="8">
        <v>474.9</v>
      </c>
      <c r="AD43" s="8">
        <v>406.75</v>
      </c>
      <c r="AE43" s="5"/>
      <c r="AF43" s="8"/>
      <c r="AG43" s="8">
        <v>1152</v>
      </c>
      <c r="AH43" s="8"/>
      <c r="AI43" s="8"/>
      <c r="AJ43" s="4"/>
      <c r="AK43" s="4"/>
      <c r="AL43" s="4"/>
    </row>
    <row r="44" spans="1:40" s="1" customFormat="1" x14ac:dyDescent="0.4">
      <c r="A44" s="9" t="str">
        <f t="shared" si="6"/>
        <v>Cliente 14</v>
      </c>
      <c r="B44" s="10"/>
      <c r="C44" s="10"/>
      <c r="D44" s="10"/>
      <c r="E44" s="10"/>
      <c r="F44" s="10"/>
      <c r="G44" s="10"/>
      <c r="H44" s="11"/>
      <c r="I44" s="11"/>
      <c r="J44" s="24"/>
      <c r="K44" s="24"/>
      <c r="L44" s="26">
        <f>+$J$16/3</f>
        <v>5610</v>
      </c>
      <c r="M44" s="8">
        <f>+$J$16/3</f>
        <v>5610</v>
      </c>
      <c r="N44" s="8">
        <f>+$J$16/3</f>
        <v>5610</v>
      </c>
      <c r="O44" s="8">
        <v>3780</v>
      </c>
      <c r="P44" s="8">
        <f>4650+4185+9300</f>
        <v>18135</v>
      </c>
      <c r="Q44" s="8">
        <f>4650+4185</f>
        <v>8835</v>
      </c>
      <c r="R44" s="5"/>
      <c r="S44" s="8"/>
      <c r="T44" s="8">
        <v>1235</v>
      </c>
      <c r="U44" s="4"/>
      <c r="V44" s="4">
        <v>3330</v>
      </c>
      <c r="W44" s="4"/>
      <c r="X44" s="4"/>
      <c r="Y44" s="4">
        <v>225</v>
      </c>
      <c r="Z44" s="4"/>
      <c r="AA44" s="4"/>
      <c r="AD44" s="5"/>
      <c r="AE44" s="8">
        <v>2000</v>
      </c>
      <c r="AF44" s="8">
        <v>6320</v>
      </c>
      <c r="AG44" s="8">
        <v>6320</v>
      </c>
      <c r="AH44" s="8"/>
      <c r="AI44" s="8"/>
      <c r="AJ44" s="4"/>
      <c r="AK44" s="4"/>
      <c r="AL44" s="4"/>
    </row>
    <row r="45" spans="1:40" s="1" customFormat="1" x14ac:dyDescent="0.4">
      <c r="A45" s="9" t="str">
        <f t="shared" si="6"/>
        <v>Cliente 15</v>
      </c>
      <c r="B45" s="10"/>
      <c r="C45" s="10"/>
      <c r="D45" s="10"/>
      <c r="E45" s="10"/>
      <c r="F45" s="10"/>
      <c r="G45" s="10"/>
      <c r="H45" s="11"/>
      <c r="I45" s="11"/>
      <c r="J45" s="24"/>
      <c r="K45" s="26"/>
      <c r="L45" s="26"/>
      <c r="M45" s="26"/>
      <c r="N45" s="8">
        <v>8000</v>
      </c>
      <c r="O45" s="8">
        <f>991.2+8000</f>
        <v>8991.2000000000007</v>
      </c>
      <c r="P45" s="8">
        <v>8000</v>
      </c>
      <c r="Q45" s="8"/>
      <c r="R45" s="5"/>
      <c r="S45" s="5"/>
      <c r="T45" s="5"/>
      <c r="AD45" s="5"/>
      <c r="AE45" s="5"/>
      <c r="AF45" s="5"/>
      <c r="AG45" s="8"/>
      <c r="AH45" s="8"/>
      <c r="AI45" s="8"/>
      <c r="AJ45" s="4"/>
      <c r="AK45" s="4">
        <f>+$AI$17/2</f>
        <v>18420</v>
      </c>
      <c r="AL45" s="4">
        <f>+$AI$17/2+$AJ$17/2</f>
        <v>36840</v>
      </c>
      <c r="AM45" s="4">
        <f>+$AJ$17/2</f>
        <v>18420</v>
      </c>
    </row>
    <row r="46" spans="1:40" s="1" customFormat="1" x14ac:dyDescent="0.4">
      <c r="A46" s="9" t="str">
        <f t="shared" si="6"/>
        <v>Cliente 16</v>
      </c>
      <c r="B46" s="10"/>
      <c r="C46" s="10"/>
      <c r="D46" s="10"/>
      <c r="E46" s="10"/>
      <c r="F46" s="10"/>
      <c r="G46" s="10"/>
      <c r="H46" s="11"/>
      <c r="I46" s="11"/>
      <c r="J46" s="34">
        <v>36.25</v>
      </c>
      <c r="K46" s="8">
        <f>-16.94-3.61-9.72</f>
        <v>-30.270000000000003</v>
      </c>
      <c r="L46" s="8">
        <v>-18.05</v>
      </c>
      <c r="M46" s="8">
        <v>-14.44</v>
      </c>
      <c r="N46" s="8">
        <f>-N45-N44-N38-N34+7993.89+22796.39+10222.78</f>
        <v>-13.329999999999927</v>
      </c>
      <c r="O46" s="8">
        <f>-41.1+9.72</f>
        <v>-31.380000000000003</v>
      </c>
      <c r="P46" s="8">
        <v>-48.32</v>
      </c>
      <c r="Q46" s="8">
        <v>-27.77</v>
      </c>
      <c r="R46" s="8">
        <v>-22.85</v>
      </c>
      <c r="S46" s="8">
        <v>-17.850000000000001</v>
      </c>
      <c r="T46" s="8">
        <v>-5.51</v>
      </c>
      <c r="V46" s="4">
        <v>-24.27</v>
      </c>
      <c r="W46" s="4"/>
      <c r="Z46" s="4"/>
      <c r="AA46" s="4"/>
      <c r="AC46" s="4"/>
      <c r="AD46" s="5"/>
      <c r="AE46" s="8">
        <f>+X18</f>
        <v>39600</v>
      </c>
      <c r="AF46" s="5"/>
      <c r="AG46" s="8"/>
      <c r="AH46" s="8"/>
      <c r="AI46" s="8"/>
      <c r="AJ46" s="4"/>
      <c r="AK46" s="4"/>
      <c r="AL46" s="4"/>
    </row>
    <row r="47" spans="1:40" s="1" customFormat="1" x14ac:dyDescent="0.4">
      <c r="A47" s="9" t="str">
        <f t="shared" si="6"/>
        <v>Cliente 17</v>
      </c>
      <c r="B47" s="10"/>
      <c r="C47" s="10"/>
      <c r="D47" s="10"/>
      <c r="E47" s="10"/>
      <c r="F47" s="10"/>
      <c r="G47" s="10"/>
      <c r="H47" s="11"/>
      <c r="I47" s="11"/>
      <c r="J47" s="34"/>
      <c r="K47" s="8"/>
      <c r="L47" s="8"/>
      <c r="M47" s="8"/>
      <c r="N47" s="8"/>
      <c r="O47" s="8"/>
      <c r="P47" s="8"/>
      <c r="Q47" s="8"/>
      <c r="R47" s="8"/>
      <c r="S47" s="8"/>
      <c r="T47" s="5"/>
      <c r="V47" s="4">
        <v>2052</v>
      </c>
      <c r="W47" s="4"/>
      <c r="Y47" s="4"/>
      <c r="AD47" s="5"/>
      <c r="AE47" s="5"/>
      <c r="AF47" s="5"/>
      <c r="AG47" s="8"/>
      <c r="AH47" s="8"/>
      <c r="AI47" s="8"/>
      <c r="AJ47" s="4"/>
      <c r="AK47" s="4"/>
      <c r="AL47" s="4"/>
    </row>
    <row r="48" spans="1:40" s="1" customFormat="1" x14ac:dyDescent="0.4">
      <c r="A48" s="9" t="str">
        <f t="shared" si="6"/>
        <v>Cliente 18</v>
      </c>
      <c r="B48" s="10"/>
      <c r="C48" s="10"/>
      <c r="D48" s="10"/>
      <c r="E48" s="10"/>
      <c r="F48" s="10"/>
      <c r="G48" s="10"/>
      <c r="H48" s="11"/>
      <c r="I48" s="11"/>
      <c r="J48" s="34"/>
      <c r="K48" s="8"/>
      <c r="L48" s="8"/>
      <c r="M48" s="8"/>
      <c r="N48" s="8"/>
      <c r="O48" s="8"/>
      <c r="P48" s="8"/>
      <c r="Q48" s="8"/>
      <c r="R48" s="8"/>
      <c r="S48" s="8"/>
      <c r="T48" s="5"/>
      <c r="V48" s="4"/>
      <c r="W48" s="4"/>
      <c r="Y48" s="4">
        <v>2220</v>
      </c>
      <c r="Z48" s="4"/>
      <c r="AA48" s="4"/>
      <c r="AB48" s="4"/>
      <c r="AC48" s="4"/>
      <c r="AD48" s="8"/>
      <c r="AE48" s="8"/>
      <c r="AF48" s="8"/>
      <c r="AG48" s="8"/>
      <c r="AH48" s="8"/>
      <c r="AI48" s="8"/>
      <c r="AJ48" s="8">
        <f>7999.2/2</f>
        <v>3999.6</v>
      </c>
      <c r="AK48" s="8">
        <f>7999.2/2+3720</f>
        <v>7719.6</v>
      </c>
      <c r="AL48" s="4"/>
    </row>
    <row r="49" spans="1:45" s="1" customFormat="1" x14ac:dyDescent="0.4">
      <c r="A49" s="9" t="str">
        <f t="shared" si="6"/>
        <v>Cliente 19</v>
      </c>
      <c r="B49" s="10"/>
      <c r="C49" s="10"/>
      <c r="D49" s="10"/>
      <c r="E49" s="10"/>
      <c r="F49" s="10"/>
      <c r="G49" s="10"/>
      <c r="H49" s="11"/>
      <c r="I49" s="11"/>
      <c r="J49" s="34"/>
      <c r="K49" s="8"/>
      <c r="L49" s="8"/>
      <c r="M49" s="8"/>
      <c r="N49" s="8"/>
      <c r="O49" s="8"/>
      <c r="P49" s="8"/>
      <c r="Q49" s="8"/>
      <c r="R49" s="8"/>
      <c r="S49" s="8"/>
      <c r="T49" s="5"/>
      <c r="V49" s="4"/>
      <c r="W49" s="4"/>
      <c r="Y49" s="4">
        <v>16321.15</v>
      </c>
      <c r="AE49" s="5"/>
      <c r="AF49" s="5"/>
      <c r="AG49" s="8"/>
      <c r="AH49" s="8"/>
      <c r="AI49" s="8"/>
      <c r="AJ49" s="4"/>
      <c r="AK49" s="4"/>
      <c r="AL49" s="4"/>
    </row>
    <row r="50" spans="1:45" s="4" customFormat="1" x14ac:dyDescent="0.4">
      <c r="A50" s="9" t="str">
        <f t="shared" si="6"/>
        <v>Cliente 20</v>
      </c>
      <c r="B50" s="10"/>
      <c r="C50" s="10"/>
      <c r="D50" s="10"/>
      <c r="E50" s="10"/>
      <c r="F50" s="10"/>
      <c r="G50" s="10"/>
      <c r="H50" s="25"/>
      <c r="I50" s="25"/>
      <c r="J50" s="34"/>
      <c r="K50" s="8"/>
      <c r="L50" s="8"/>
      <c r="M50" s="8"/>
      <c r="N50" s="8"/>
      <c r="O50" s="8"/>
      <c r="P50" s="8"/>
      <c r="Q50" s="8"/>
      <c r="R50" s="8"/>
      <c r="S50" s="8"/>
      <c r="T50" s="8"/>
      <c r="AE50" s="8">
        <v>0</v>
      </c>
      <c r="AF50" s="8">
        <f>+$AC$22/2</f>
        <v>0</v>
      </c>
      <c r="AG50" s="8">
        <f>+$AC$22/2</f>
        <v>0</v>
      </c>
      <c r="AH50" s="8">
        <v>15000</v>
      </c>
      <c r="AI50" s="8">
        <v>15000</v>
      </c>
      <c r="AJ50" s="4">
        <v>15000</v>
      </c>
      <c r="AL50" s="4">
        <f>+$AJ$22/3</f>
        <v>3450</v>
      </c>
      <c r="AM50" s="4">
        <f>+$AJ$22/3</f>
        <v>3450</v>
      </c>
      <c r="AN50" s="4">
        <f>+$AJ$22/3</f>
        <v>3450</v>
      </c>
    </row>
    <row r="51" spans="1:45" s="1" customFormat="1" x14ac:dyDescent="0.4">
      <c r="A51" s="9" t="str">
        <f t="shared" si="6"/>
        <v>Cliente 21</v>
      </c>
      <c r="B51" s="10"/>
      <c r="C51" s="10"/>
      <c r="D51" s="10"/>
      <c r="E51" s="10"/>
      <c r="F51" s="10"/>
      <c r="G51" s="10"/>
      <c r="H51" s="11"/>
      <c r="I51" s="11"/>
      <c r="J51" s="34">
        <v>43168.99</v>
      </c>
      <c r="K51" s="8">
        <v>-43168.99</v>
      </c>
      <c r="L51" s="8"/>
      <c r="M51" s="8"/>
      <c r="N51" s="8"/>
      <c r="O51" s="8"/>
      <c r="P51" s="8"/>
      <c r="Q51" s="8"/>
      <c r="R51" s="8"/>
      <c r="S51" s="8"/>
      <c r="T51" s="5"/>
      <c r="V51" s="4"/>
      <c r="W51" s="4"/>
      <c r="Y51" s="4">
        <v>-19.260000000000002</v>
      </c>
      <c r="Z51" s="4">
        <v>12.22</v>
      </c>
      <c r="AD51" s="4"/>
      <c r="AE51" s="8"/>
      <c r="AF51" s="8"/>
      <c r="AG51" s="5"/>
      <c r="AH51" s="8"/>
      <c r="AI51" s="8"/>
      <c r="AJ51" s="8"/>
      <c r="AK51" s="8">
        <f>+AH23</f>
        <v>21133.333333333339</v>
      </c>
    </row>
    <row r="52" spans="1:45" s="1" customFormat="1" x14ac:dyDescent="0.4">
      <c r="A52" s="9" t="str">
        <f t="shared" si="6"/>
        <v>Cliente 22</v>
      </c>
      <c r="B52" s="10"/>
      <c r="C52" s="10"/>
      <c r="D52" s="10"/>
      <c r="E52" s="10"/>
      <c r="F52" s="10"/>
      <c r="G52" s="10"/>
      <c r="H52" s="11"/>
      <c r="I52" s="11"/>
      <c r="J52" s="34"/>
      <c r="K52" s="8"/>
      <c r="L52" s="8"/>
      <c r="M52" s="8"/>
      <c r="N52" s="8"/>
      <c r="O52" s="8"/>
      <c r="P52" s="8"/>
      <c r="Q52" s="8"/>
      <c r="R52" s="8"/>
      <c r="S52" s="8"/>
      <c r="T52" s="5"/>
      <c r="V52" s="4"/>
      <c r="W52" s="4"/>
      <c r="Y52" s="4"/>
      <c r="Z52" s="4"/>
      <c r="AD52" s="4"/>
      <c r="AE52" s="8"/>
      <c r="AF52" s="8">
        <v>0</v>
      </c>
      <c r="AG52" s="5"/>
      <c r="AH52" s="5"/>
      <c r="AI52" s="5"/>
      <c r="AK52" s="4">
        <v>5400</v>
      </c>
    </row>
    <row r="53" spans="1:45" s="1" customFormat="1" x14ac:dyDescent="0.4">
      <c r="A53" s="9" t="str">
        <f t="shared" si="6"/>
        <v>Cliente 23</v>
      </c>
      <c r="B53" s="10"/>
      <c r="C53" s="10"/>
      <c r="D53" s="10"/>
      <c r="E53" s="10"/>
      <c r="F53" s="10"/>
      <c r="G53" s="10"/>
      <c r="H53" s="11"/>
      <c r="I53" s="11"/>
      <c r="J53" s="34"/>
      <c r="K53" s="8"/>
      <c r="L53" s="8"/>
      <c r="M53" s="8"/>
      <c r="N53" s="8"/>
      <c r="O53" s="8"/>
      <c r="P53" s="8"/>
      <c r="Q53" s="8"/>
      <c r="R53" s="8"/>
      <c r="S53" s="8"/>
      <c r="T53" s="5"/>
      <c r="V53" s="4"/>
      <c r="W53" s="4"/>
      <c r="Y53" s="4"/>
      <c r="Z53" s="4"/>
      <c r="AD53" s="4"/>
      <c r="AE53" s="8"/>
      <c r="AF53" s="8"/>
      <c r="AG53" s="5"/>
      <c r="AH53" s="8"/>
      <c r="AI53" s="8"/>
    </row>
    <row r="54" spans="1:45" s="18" customFormat="1" x14ac:dyDescent="0.4">
      <c r="A54" s="17" t="s">
        <v>45</v>
      </c>
      <c r="B54" s="1">
        <f t="shared" ref="B54:I54" si="8">SUM(B31:B46)</f>
        <v>26400</v>
      </c>
      <c r="C54" s="1">
        <f t="shared" si="8"/>
        <v>83952.05</v>
      </c>
      <c r="D54" s="1">
        <f t="shared" si="8"/>
        <v>75767.040000000008</v>
      </c>
      <c r="E54" s="1">
        <f t="shared" si="8"/>
        <v>75633.88</v>
      </c>
      <c r="F54" s="1">
        <f t="shared" si="8"/>
        <v>29264.720000000001</v>
      </c>
      <c r="G54" s="1">
        <f t="shared" si="8"/>
        <v>123296.12</v>
      </c>
      <c r="H54" s="1">
        <f t="shared" si="8"/>
        <v>37358.49</v>
      </c>
      <c r="I54" s="1">
        <f t="shared" si="8"/>
        <v>60739.38</v>
      </c>
      <c r="J54" s="5">
        <f>SUM(J31:J51)</f>
        <v>133554.13</v>
      </c>
      <c r="K54" s="5">
        <f>SUM(K31:K51)</f>
        <v>4590.8400000000038</v>
      </c>
      <c r="L54" s="5">
        <f t="shared" ref="L54:U54" si="9">SUM(L31:L47)</f>
        <v>41233.449999999997</v>
      </c>
      <c r="M54" s="5">
        <f t="shared" si="9"/>
        <v>87822.299999999988</v>
      </c>
      <c r="N54" s="5">
        <f t="shared" si="9"/>
        <v>41013.06</v>
      </c>
      <c r="O54" s="5">
        <f t="shared" si="9"/>
        <v>105887.51</v>
      </c>
      <c r="P54" s="5">
        <f t="shared" si="9"/>
        <v>45372.68</v>
      </c>
      <c r="Q54" s="5">
        <f t="shared" si="9"/>
        <v>16426.23</v>
      </c>
      <c r="R54" s="5">
        <f t="shared" si="9"/>
        <v>21768.39</v>
      </c>
      <c r="S54" s="5">
        <f t="shared" si="9"/>
        <v>78549.149999999994</v>
      </c>
      <c r="T54" s="5">
        <f t="shared" si="9"/>
        <v>54025.96</v>
      </c>
      <c r="U54" s="5">
        <f t="shared" si="9"/>
        <v>0</v>
      </c>
      <c r="V54" s="5">
        <f t="shared" ref="V54:AA54" si="10">SUM(V31:V51)</f>
        <v>17711.53</v>
      </c>
      <c r="W54" s="5">
        <f t="shared" si="10"/>
        <v>1116.3900000000001</v>
      </c>
      <c r="X54" s="5">
        <f t="shared" si="10"/>
        <v>60518.94</v>
      </c>
      <c r="Y54" s="5">
        <f t="shared" si="10"/>
        <v>43604.439999999995</v>
      </c>
      <c r="Z54" s="5">
        <f t="shared" si="10"/>
        <v>31822</v>
      </c>
      <c r="AA54" s="5">
        <f t="shared" si="10"/>
        <v>0</v>
      </c>
      <c r="AB54" s="5">
        <f>SUM(AB31:AB52)</f>
        <v>0</v>
      </c>
      <c r="AC54" s="5">
        <f>SUM(AC31:AC52)</f>
        <v>0</v>
      </c>
      <c r="AD54" s="5">
        <f>SUM(AD31:AD52)</f>
        <v>2303.42</v>
      </c>
      <c r="AE54" s="5">
        <f t="shared" ref="AE54:AP54" si="11">SUM(AE31:AE53)</f>
        <v>92408.94</v>
      </c>
      <c r="AF54" s="5">
        <f t="shared" si="11"/>
        <v>61446.84</v>
      </c>
      <c r="AG54" s="5">
        <f t="shared" si="11"/>
        <v>8822</v>
      </c>
      <c r="AH54" s="5">
        <f t="shared" si="11"/>
        <v>82866.509999999995</v>
      </c>
      <c r="AI54" s="5">
        <f t="shared" si="11"/>
        <v>135470.54999999999</v>
      </c>
      <c r="AJ54" s="5">
        <f t="shared" si="11"/>
        <v>58452.4</v>
      </c>
      <c r="AK54" s="5">
        <f t="shared" si="11"/>
        <v>170820.56333333335</v>
      </c>
      <c r="AL54" s="5">
        <f t="shared" si="11"/>
        <v>304353.59999999998</v>
      </c>
      <c r="AM54" s="5">
        <f t="shared" si="11"/>
        <v>86470.3</v>
      </c>
      <c r="AN54" s="5">
        <f t="shared" si="11"/>
        <v>149420</v>
      </c>
      <c r="AO54" s="5">
        <f t="shared" si="11"/>
        <v>0</v>
      </c>
      <c r="AP54" s="5">
        <f t="shared" si="11"/>
        <v>0</v>
      </c>
    </row>
    <row r="55" spans="1:45" s="18" customFormat="1" x14ac:dyDescent="0.4">
      <c r="A55" s="17"/>
      <c r="B55" s="1"/>
      <c r="C55" s="1"/>
      <c r="D55" s="1"/>
      <c r="E55" s="1"/>
      <c r="F55" s="1"/>
      <c r="G55" s="1"/>
      <c r="H55" s="1"/>
      <c r="I55" s="1"/>
      <c r="J55" s="1"/>
    </row>
    <row r="56" spans="1:45" s="18" customFormat="1" x14ac:dyDescent="0.4">
      <c r="A56" s="17"/>
      <c r="B56" s="1"/>
      <c r="C56" s="1"/>
      <c r="D56" s="1"/>
      <c r="E56" s="1"/>
      <c r="F56" s="1"/>
      <c r="G56" s="1"/>
      <c r="H56" s="1"/>
      <c r="I56" s="1"/>
      <c r="J56" s="1"/>
    </row>
    <row r="57" spans="1:45" s="18" customFormat="1" x14ac:dyDescent="0.4">
      <c r="A57" s="17"/>
      <c r="B57" s="1"/>
      <c r="C57" s="1"/>
      <c r="D57" s="1"/>
      <c r="E57" s="1"/>
      <c r="F57" s="1"/>
      <c r="G57" s="1"/>
      <c r="H57" s="1"/>
      <c r="I57" s="1"/>
      <c r="J57" s="1"/>
    </row>
    <row r="58" spans="1:45" s="29" customFormat="1" x14ac:dyDescent="0.4">
      <c r="A58" s="28" t="s">
        <v>105</v>
      </c>
      <c r="C58" s="30" t="s">
        <v>53</v>
      </c>
      <c r="D58" s="30" t="s">
        <v>53</v>
      </c>
      <c r="E58" s="30" t="s">
        <v>53</v>
      </c>
      <c r="F58" s="30" t="s">
        <v>53</v>
      </c>
      <c r="G58" s="30" t="s">
        <v>53</v>
      </c>
      <c r="H58" s="30" t="s">
        <v>53</v>
      </c>
      <c r="I58" s="30" t="s">
        <v>53</v>
      </c>
      <c r="J58" s="30" t="s">
        <v>53</v>
      </c>
      <c r="K58" s="30" t="s">
        <v>53</v>
      </c>
      <c r="L58" s="30" t="s">
        <v>53</v>
      </c>
      <c r="M58" s="30" t="s">
        <v>53</v>
      </c>
      <c r="N58" s="30" t="s">
        <v>53</v>
      </c>
      <c r="O58" s="30" t="s">
        <v>53</v>
      </c>
      <c r="P58" s="30" t="s">
        <v>53</v>
      </c>
      <c r="Q58" s="30" t="s">
        <v>53</v>
      </c>
      <c r="R58" s="30" t="s">
        <v>53</v>
      </c>
      <c r="S58" s="30" t="s">
        <v>53</v>
      </c>
      <c r="T58" s="30" t="s">
        <v>53</v>
      </c>
      <c r="U58" s="30" t="s">
        <v>53</v>
      </c>
      <c r="V58" s="30" t="s">
        <v>53</v>
      </c>
      <c r="W58" s="29" t="str">
        <f t="shared" ref="W58:AS58" si="12">+W29</f>
        <v>Consuntivato</v>
      </c>
      <c r="X58" s="29" t="str">
        <f t="shared" si="12"/>
        <v>Consuntivato</v>
      </c>
      <c r="Y58" s="29" t="str">
        <f t="shared" si="12"/>
        <v>Consuntivato</v>
      </c>
      <c r="Z58" s="46" t="str">
        <f t="shared" si="12"/>
        <v>Consuntivato</v>
      </c>
      <c r="AA58" s="46" t="str">
        <f t="shared" si="12"/>
        <v>Consuntivato</v>
      </c>
      <c r="AB58" s="46" t="str">
        <f t="shared" si="12"/>
        <v>Consuntivato</v>
      </c>
      <c r="AC58" s="46" t="str">
        <f t="shared" si="12"/>
        <v>Consuntivato</v>
      </c>
      <c r="AD58" s="46" t="str">
        <f t="shared" si="12"/>
        <v>Consuntivato</v>
      </c>
      <c r="AE58" s="46" t="str">
        <f t="shared" si="12"/>
        <v>Consuntivato</v>
      </c>
      <c r="AF58" s="46" t="str">
        <f t="shared" si="12"/>
        <v>Consuntivato</v>
      </c>
      <c r="AG58" s="46">
        <f t="shared" si="12"/>
        <v>0</v>
      </c>
      <c r="AH58" s="46">
        <f t="shared" si="12"/>
        <v>0</v>
      </c>
      <c r="AI58" s="46">
        <f t="shared" si="12"/>
        <v>0</v>
      </c>
      <c r="AJ58" s="29">
        <f t="shared" si="12"/>
        <v>0</v>
      </c>
      <c r="AK58" s="29">
        <f t="shared" si="12"/>
        <v>0</v>
      </c>
      <c r="AL58" s="29">
        <f t="shared" si="12"/>
        <v>0</v>
      </c>
      <c r="AM58" s="29">
        <f t="shared" si="12"/>
        <v>0</v>
      </c>
      <c r="AN58" s="29">
        <f t="shared" si="12"/>
        <v>0</v>
      </c>
      <c r="AO58" s="29">
        <f t="shared" si="12"/>
        <v>0</v>
      </c>
      <c r="AP58" s="29">
        <f t="shared" si="12"/>
        <v>0</v>
      </c>
      <c r="AQ58" s="29">
        <f t="shared" si="12"/>
        <v>0</v>
      </c>
      <c r="AR58" s="29">
        <f t="shared" si="12"/>
        <v>0</v>
      </c>
      <c r="AS58" s="29">
        <f t="shared" si="12"/>
        <v>0</v>
      </c>
    </row>
    <row r="59" spans="1:45" s="15" customFormat="1" ht="15" x14ac:dyDescent="0.5">
      <c r="A59" s="16">
        <f t="shared" ref="A59:A82" si="13">+A30</f>
        <v>2019</v>
      </c>
      <c r="B59" s="2">
        <v>4</v>
      </c>
      <c r="C59" s="2">
        <v>5</v>
      </c>
      <c r="D59" s="2">
        <v>6</v>
      </c>
      <c r="E59" s="2">
        <v>7</v>
      </c>
      <c r="F59" s="2">
        <v>8</v>
      </c>
      <c r="G59" s="2">
        <v>9</v>
      </c>
      <c r="H59" s="2">
        <v>10</v>
      </c>
      <c r="I59" s="2">
        <v>11</v>
      </c>
      <c r="J59" s="2">
        <v>12</v>
      </c>
      <c r="K59" s="22">
        <v>1</v>
      </c>
      <c r="L59" s="22">
        <v>2</v>
      </c>
      <c r="M59" s="22">
        <v>3</v>
      </c>
      <c r="N59" s="22">
        <v>4</v>
      </c>
      <c r="O59" s="22">
        <v>5</v>
      </c>
      <c r="P59" s="22">
        <v>6</v>
      </c>
      <c r="Q59" s="22">
        <v>7</v>
      </c>
      <c r="R59" s="22">
        <v>8</v>
      </c>
      <c r="S59" s="22">
        <v>9</v>
      </c>
      <c r="T59" s="22">
        <v>10</v>
      </c>
      <c r="U59" s="22">
        <v>11</v>
      </c>
      <c r="V59" s="22">
        <v>12</v>
      </c>
      <c r="W59" s="22">
        <v>1</v>
      </c>
      <c r="X59" s="22">
        <v>2</v>
      </c>
      <c r="Y59" s="22">
        <v>3</v>
      </c>
      <c r="Z59" s="22">
        <v>4</v>
      </c>
      <c r="AA59" s="22">
        <v>5</v>
      </c>
      <c r="AB59" s="22">
        <v>6</v>
      </c>
      <c r="AC59" s="22">
        <v>7</v>
      </c>
      <c r="AD59" s="22">
        <v>8</v>
      </c>
      <c r="AE59" s="22">
        <v>9</v>
      </c>
      <c r="AF59" s="22">
        <v>10</v>
      </c>
      <c r="AG59" s="22">
        <v>11</v>
      </c>
      <c r="AH59" s="22">
        <v>12</v>
      </c>
      <c r="AI59" s="22">
        <v>1</v>
      </c>
      <c r="AJ59" s="22">
        <v>2</v>
      </c>
      <c r="AK59" s="22">
        <v>3</v>
      </c>
      <c r="AL59" s="22">
        <v>4</v>
      </c>
      <c r="AM59" s="22">
        <v>5</v>
      </c>
      <c r="AN59" s="22">
        <v>6</v>
      </c>
      <c r="AO59" s="22">
        <v>7</v>
      </c>
      <c r="AP59" s="22">
        <v>8</v>
      </c>
    </row>
    <row r="60" spans="1:45" s="4" customFormat="1" x14ac:dyDescent="0.4">
      <c r="A60" s="9" t="str">
        <f t="shared" si="13"/>
        <v>Cliente 1</v>
      </c>
      <c r="C60" s="12"/>
      <c r="D60" s="12"/>
      <c r="E60" s="12"/>
    </row>
    <row r="61" spans="1:45" s="4" customFormat="1" x14ac:dyDescent="0.4">
      <c r="A61" s="9" t="str">
        <f t="shared" si="13"/>
        <v>Cliente 2</v>
      </c>
      <c r="C61" s="12"/>
      <c r="D61" s="12"/>
      <c r="E61" s="12"/>
      <c r="AB61" s="4">
        <f>7166*2</f>
        <v>14332</v>
      </c>
      <c r="AC61" s="4">
        <f>25776*2</f>
        <v>51552</v>
      </c>
    </row>
    <row r="62" spans="1:45" s="4" customFormat="1" x14ac:dyDescent="0.4">
      <c r="A62" s="9" t="str">
        <f t="shared" si="13"/>
        <v>Cliente 3</v>
      </c>
      <c r="C62" s="12"/>
      <c r="D62" s="12"/>
      <c r="E62" s="12"/>
      <c r="I62" s="8">
        <v>30300.240000000002</v>
      </c>
      <c r="J62" s="8"/>
      <c r="K62" s="8"/>
      <c r="O62" s="4">
        <v>31101</v>
      </c>
      <c r="P62" s="4">
        <v>14675</v>
      </c>
      <c r="Q62" s="4">
        <v>29350</v>
      </c>
      <c r="S62" s="4">
        <v>29350</v>
      </c>
      <c r="Y62" s="4">
        <v>13509.33</v>
      </c>
      <c r="Z62" s="4">
        <v>39184.519999999997</v>
      </c>
      <c r="AC62" s="4">
        <v>12910.03</v>
      </c>
    </row>
    <row r="63" spans="1:45" s="1" customFormat="1" x14ac:dyDescent="0.4">
      <c r="A63" s="9" t="str">
        <f t="shared" si="13"/>
        <v>Cliente 4</v>
      </c>
      <c r="B63" s="10"/>
      <c r="C63" s="10">
        <v>1596</v>
      </c>
      <c r="D63" s="13"/>
      <c r="E63" s="13"/>
      <c r="F63" s="10"/>
      <c r="G63" s="10"/>
      <c r="H63" s="11"/>
      <c r="I63" s="24"/>
      <c r="J63" s="24"/>
      <c r="K63" s="24"/>
      <c r="L63" s="11"/>
      <c r="M63" s="11"/>
      <c r="O63" s="4"/>
      <c r="R63" s="4">
        <v>1104</v>
      </c>
      <c r="S63" s="4"/>
      <c r="T63" s="4"/>
      <c r="U63" s="4"/>
      <c r="V63" s="4"/>
      <c r="W63" s="4"/>
      <c r="X63" s="4">
        <f>1300+500</f>
        <v>1800</v>
      </c>
      <c r="Y63" s="4">
        <v>810</v>
      </c>
      <c r="Z63" s="4">
        <v>650</v>
      </c>
      <c r="AA63" s="4">
        <v>1900</v>
      </c>
      <c r="AB63" s="4"/>
      <c r="AC63" s="4">
        <v>1404</v>
      </c>
      <c r="AD63" s="4"/>
      <c r="AE63" s="4"/>
      <c r="AF63" s="4"/>
      <c r="AG63" s="4"/>
      <c r="AH63" s="4"/>
    </row>
    <row r="64" spans="1:45" s="1" customFormat="1" x14ac:dyDescent="0.4">
      <c r="A64" s="9" t="str">
        <f t="shared" si="13"/>
        <v>Cliente 5</v>
      </c>
      <c r="B64" s="10"/>
      <c r="C64" s="13"/>
      <c r="D64" s="13"/>
      <c r="E64" s="13"/>
      <c r="F64" s="10"/>
      <c r="G64" s="10"/>
      <c r="H64" s="11"/>
      <c r="I64" s="24"/>
      <c r="J64" s="24"/>
      <c r="K64" s="24"/>
      <c r="L64" s="11"/>
      <c r="M64" s="11"/>
      <c r="O64" s="4"/>
      <c r="P64" s="4">
        <v>6328.8</v>
      </c>
      <c r="S64" s="4"/>
      <c r="T64" s="4"/>
      <c r="U64" s="4"/>
      <c r="V64" s="4"/>
      <c r="W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s="1" customFormat="1" x14ac:dyDescent="0.4">
      <c r="A65" s="9" t="str">
        <f t="shared" si="13"/>
        <v>Cliente 6</v>
      </c>
      <c r="B65" s="10"/>
      <c r="C65" s="14"/>
      <c r="D65" s="14"/>
      <c r="E65" s="13"/>
      <c r="F65" s="10"/>
      <c r="G65" s="10"/>
      <c r="H65" s="11"/>
      <c r="I65" s="24"/>
      <c r="J65" s="24"/>
      <c r="K65" s="24"/>
      <c r="L65" s="11"/>
      <c r="M65" s="11"/>
      <c r="O65" s="4"/>
      <c r="P65" s="4">
        <v>3664.8</v>
      </c>
      <c r="S65" s="4"/>
      <c r="T65" s="4"/>
      <c r="U65" s="4"/>
      <c r="V65" s="4"/>
      <c r="W65" s="4"/>
      <c r="AA65" s="4"/>
      <c r="AB65" s="4"/>
      <c r="AC65" s="4"/>
      <c r="AD65" s="4"/>
      <c r="AE65" s="4"/>
      <c r="AF65" s="4"/>
      <c r="AG65" s="4"/>
      <c r="AH65" s="4"/>
    </row>
    <row r="66" spans="1:34" s="1" customFormat="1" x14ac:dyDescent="0.4">
      <c r="A66" s="9" t="str">
        <f t="shared" si="13"/>
        <v>Cliente 7</v>
      </c>
      <c r="B66" s="10"/>
      <c r="C66" s="10">
        <f>10250+4370</f>
        <v>14620</v>
      </c>
      <c r="D66" s="13"/>
      <c r="E66" s="13"/>
      <c r="F66" s="10"/>
      <c r="G66" s="10"/>
      <c r="H66" s="11"/>
      <c r="I66" s="26">
        <v>1420</v>
      </c>
      <c r="J66" s="24"/>
      <c r="K66" s="24"/>
      <c r="L66" s="11"/>
      <c r="M66" s="11"/>
      <c r="O66" s="4">
        <v>570</v>
      </c>
      <c r="P66" s="8">
        <v>2910</v>
      </c>
      <c r="R66" s="4">
        <v>1815</v>
      </c>
      <c r="S66" s="4"/>
      <c r="T66" s="4"/>
      <c r="U66" s="4">
        <v>3810</v>
      </c>
      <c r="V66" s="4"/>
      <c r="W66" s="4"/>
      <c r="X66" s="4">
        <f>600+1200</f>
        <v>1800</v>
      </c>
      <c r="Y66" s="4">
        <v>600</v>
      </c>
      <c r="AA66" s="4">
        <v>14800</v>
      </c>
      <c r="AB66" s="4"/>
      <c r="AC66" s="4">
        <v>10200</v>
      </c>
      <c r="AD66" s="4"/>
      <c r="AE66" s="4"/>
      <c r="AF66" s="4">
        <v>2400</v>
      </c>
      <c r="AG66" s="4"/>
      <c r="AH66" s="4"/>
    </row>
    <row r="67" spans="1:34" s="1" customFormat="1" x14ac:dyDescent="0.4">
      <c r="A67" s="9" t="str">
        <f t="shared" si="13"/>
        <v>Cliente 8</v>
      </c>
      <c r="B67" s="10"/>
      <c r="C67" s="13"/>
      <c r="D67" s="13"/>
      <c r="E67" s="13"/>
      <c r="F67" s="10"/>
      <c r="G67" s="10"/>
      <c r="H67" s="11"/>
      <c r="I67" s="24"/>
      <c r="J67" s="26">
        <f>(310)*38*1.2+(6000*1.2)</f>
        <v>21336</v>
      </c>
      <c r="K67" s="24"/>
      <c r="L67" s="26">
        <v>24168</v>
      </c>
      <c r="M67" s="11"/>
      <c r="O67" s="4"/>
      <c r="S67" s="4"/>
      <c r="T67" s="4"/>
      <c r="U67" s="4"/>
      <c r="V67" s="4"/>
      <c r="W67" s="4"/>
      <c r="AA67" s="4"/>
      <c r="AB67" s="4"/>
      <c r="AC67" s="4"/>
      <c r="AD67" s="4"/>
      <c r="AE67" s="4"/>
      <c r="AF67" s="4"/>
      <c r="AG67" s="4"/>
      <c r="AH67" s="4"/>
    </row>
    <row r="68" spans="1:34" s="1" customFormat="1" x14ac:dyDescent="0.4">
      <c r="A68" s="9" t="str">
        <f t="shared" si="13"/>
        <v>Cliente 9</v>
      </c>
      <c r="B68" s="10"/>
      <c r="C68" s="10">
        <f>(36669-7747)*1.2</f>
        <v>34706.400000000001</v>
      </c>
      <c r="D68" s="12"/>
      <c r="E68" s="12"/>
      <c r="F68" s="13"/>
      <c r="G68" s="10"/>
      <c r="H68" s="10"/>
      <c r="I68" s="8">
        <f>23952</f>
        <v>23952</v>
      </c>
      <c r="J68" s="24"/>
      <c r="K68" s="24"/>
      <c r="L68" s="26"/>
      <c r="M68" s="11"/>
      <c r="O68" s="4"/>
      <c r="S68" s="4"/>
      <c r="T68" s="4"/>
      <c r="U68" s="4"/>
      <c r="V68" s="4"/>
      <c r="W68" s="4"/>
      <c r="AA68" s="4"/>
      <c r="AB68" s="4"/>
      <c r="AC68" s="4"/>
      <c r="AD68" s="4"/>
      <c r="AE68" s="4"/>
      <c r="AF68" s="4"/>
      <c r="AG68" s="4"/>
      <c r="AH68" s="4"/>
    </row>
    <row r="69" spans="1:34" s="1" customFormat="1" x14ac:dyDescent="0.4">
      <c r="A69" s="9" t="str">
        <f t="shared" si="13"/>
        <v>Cliente 10</v>
      </c>
      <c r="B69" s="9"/>
      <c r="C69" s="10">
        <v>32895.199999999997</v>
      </c>
      <c r="D69" s="12"/>
      <c r="E69" s="14"/>
      <c r="F69" s="10">
        <f>28482+21855</f>
        <v>50337</v>
      </c>
      <c r="G69" s="10"/>
      <c r="H69" s="10"/>
      <c r="I69" s="8">
        <v>6815</v>
      </c>
      <c r="J69" s="26">
        <v>53755.57</v>
      </c>
      <c r="K69" s="24"/>
      <c r="L69" s="26">
        <v>1813.5</v>
      </c>
      <c r="M69" s="11"/>
      <c r="O69" s="4">
        <v>29207.439999999999</v>
      </c>
      <c r="P69" s="8">
        <v>12545.79</v>
      </c>
      <c r="R69" s="4">
        <v>1380</v>
      </c>
      <c r="S69" s="4">
        <v>775</v>
      </c>
      <c r="T69" s="4"/>
      <c r="U69" s="4">
        <v>6406</v>
      </c>
      <c r="V69" s="4"/>
      <c r="W69" s="4"/>
      <c r="X69" s="8">
        <f>494+9516.92</f>
        <v>10010.92</v>
      </c>
      <c r="Y69" s="4">
        <f>1028.58+(4663.25*3)</f>
        <v>15018.33</v>
      </c>
      <c r="Z69" s="4">
        <v>17844.46</v>
      </c>
      <c r="AA69" s="4">
        <f>4658*3+1730+13074.78</f>
        <v>28778.78</v>
      </c>
      <c r="AB69" s="4">
        <v>28750</v>
      </c>
      <c r="AC69" s="4">
        <f>40459.9+16220.86</f>
        <v>56680.76</v>
      </c>
      <c r="AD69" s="4"/>
      <c r="AE69" s="4">
        <f>90146.98+25626.23</f>
        <v>115773.20999999999</v>
      </c>
      <c r="AF69" s="4">
        <v>480</v>
      </c>
      <c r="AG69" s="4"/>
      <c r="AH69" s="4"/>
    </row>
    <row r="70" spans="1:34" s="1" customFormat="1" x14ac:dyDescent="0.4">
      <c r="A70" s="9" t="str">
        <f t="shared" si="13"/>
        <v>Cliente 11</v>
      </c>
      <c r="B70" s="9"/>
      <c r="C70" s="10"/>
      <c r="D70" s="13"/>
      <c r="E70" s="13"/>
      <c r="F70" s="10"/>
      <c r="G70" s="10"/>
      <c r="H70" s="11"/>
      <c r="I70" s="24"/>
      <c r="J70" s="24"/>
      <c r="K70" s="24"/>
      <c r="L70" s="26"/>
      <c r="M70" s="11"/>
      <c r="O70" s="4"/>
      <c r="S70" s="4"/>
      <c r="T70" s="4"/>
      <c r="U70" s="4"/>
      <c r="V70" s="4"/>
      <c r="W70" s="4"/>
      <c r="AA70" s="4"/>
      <c r="AB70" s="4"/>
      <c r="AC70" s="4"/>
      <c r="AD70" s="4"/>
      <c r="AE70" s="4"/>
      <c r="AF70" s="4"/>
      <c r="AG70" s="4"/>
      <c r="AH70" s="4"/>
    </row>
    <row r="71" spans="1:34" s="1" customFormat="1" x14ac:dyDescent="0.4">
      <c r="A71" s="9" t="str">
        <f t="shared" si="13"/>
        <v>Cliente 12</v>
      </c>
      <c r="B71" s="9"/>
      <c r="C71" s="10"/>
      <c r="D71" s="13"/>
      <c r="E71" s="10"/>
      <c r="F71" s="10"/>
      <c r="G71" s="10"/>
      <c r="H71" s="11"/>
      <c r="I71" s="24"/>
      <c r="J71" s="24"/>
      <c r="K71" s="24"/>
      <c r="L71" s="26">
        <v>47814.2</v>
      </c>
      <c r="M71" s="11"/>
      <c r="O71" s="4">
        <v>1140</v>
      </c>
      <c r="P71" s="4">
        <v>780</v>
      </c>
      <c r="R71" s="4">
        <v>46178</v>
      </c>
      <c r="S71" s="4"/>
      <c r="T71" s="4"/>
      <c r="U71" s="4"/>
      <c r="V71" s="4"/>
      <c r="W71" s="8">
        <v>17000</v>
      </c>
      <c r="AA71" s="4"/>
      <c r="AB71" s="4"/>
      <c r="AC71" s="4">
        <v>400</v>
      </c>
      <c r="AD71" s="4"/>
      <c r="AE71" s="4"/>
      <c r="AF71" s="4"/>
      <c r="AG71" s="4"/>
      <c r="AH71" s="4"/>
    </row>
    <row r="72" spans="1:34" s="1" customFormat="1" x14ac:dyDescent="0.4">
      <c r="A72" s="9" t="str">
        <f t="shared" si="13"/>
        <v>Cliente 13</v>
      </c>
      <c r="B72" s="9"/>
      <c r="C72" s="10"/>
      <c r="D72" s="13"/>
      <c r="E72" s="10"/>
      <c r="F72" s="10"/>
      <c r="G72" s="10"/>
      <c r="H72" s="11"/>
      <c r="I72" s="24"/>
      <c r="J72" s="24"/>
      <c r="K72" s="24"/>
      <c r="L72" s="11"/>
      <c r="M72" s="11"/>
      <c r="O72" s="4"/>
      <c r="S72" s="4"/>
      <c r="T72" s="4"/>
      <c r="U72" s="4"/>
      <c r="V72" s="4"/>
      <c r="W72" s="4"/>
      <c r="X72" s="4">
        <v>409.87</v>
      </c>
      <c r="AA72" s="4"/>
      <c r="AB72" s="4"/>
      <c r="AC72" s="4"/>
      <c r="AD72" s="4"/>
      <c r="AE72" s="4"/>
      <c r="AF72" s="4">
        <v>408.62</v>
      </c>
      <c r="AG72" s="4"/>
      <c r="AH72" s="4"/>
    </row>
    <row r="73" spans="1:34" s="1" customFormat="1" x14ac:dyDescent="0.4">
      <c r="A73" s="9" t="str">
        <f t="shared" si="13"/>
        <v>Cliente 14</v>
      </c>
      <c r="B73" s="9"/>
      <c r="C73" s="10"/>
      <c r="D73" s="13"/>
      <c r="E73" s="10"/>
      <c r="F73" s="10"/>
      <c r="G73" s="10"/>
      <c r="H73" s="11"/>
      <c r="I73" s="26">
        <f>10540*3</f>
        <v>31620</v>
      </c>
      <c r="J73" s="24"/>
      <c r="K73" s="24"/>
      <c r="L73" s="11"/>
      <c r="M73" s="11"/>
      <c r="Q73" s="4">
        <v>10330</v>
      </c>
      <c r="S73" s="4"/>
      <c r="T73" s="4"/>
      <c r="U73" s="4"/>
      <c r="V73" s="4"/>
      <c r="W73" s="4"/>
      <c r="AA73" s="4"/>
      <c r="AB73" s="4"/>
      <c r="AC73" s="4"/>
      <c r="AD73" s="4"/>
      <c r="AE73" s="4"/>
      <c r="AF73" s="4"/>
      <c r="AG73" s="4"/>
      <c r="AH73" s="4"/>
    </row>
    <row r="74" spans="1:34" s="1" customFormat="1" x14ac:dyDescent="0.4">
      <c r="A74" s="9" t="str">
        <f t="shared" si="13"/>
        <v>Cliente 15</v>
      </c>
      <c r="B74" s="9"/>
      <c r="C74" s="10"/>
      <c r="D74" s="13"/>
      <c r="E74" s="10"/>
      <c r="F74" s="10"/>
      <c r="G74" s="10"/>
      <c r="H74" s="11"/>
      <c r="I74" s="24"/>
      <c r="J74" s="26">
        <v>20400</v>
      </c>
      <c r="K74" s="24"/>
      <c r="L74" s="11"/>
      <c r="M74" s="11"/>
      <c r="S74" s="4"/>
      <c r="T74" s="4"/>
      <c r="U74" s="4"/>
      <c r="V74" s="4"/>
      <c r="W74" s="4"/>
      <c r="AA74" s="4"/>
      <c r="AB74" s="4"/>
      <c r="AC74" s="4"/>
      <c r="AD74" s="4"/>
      <c r="AE74" s="4"/>
      <c r="AF74" s="4"/>
      <c r="AG74" s="4"/>
      <c r="AH74" s="4"/>
    </row>
    <row r="75" spans="1:34" s="1" customFormat="1" x14ac:dyDescent="0.4">
      <c r="A75" s="9" t="str">
        <f t="shared" si="13"/>
        <v>Cliente 16</v>
      </c>
      <c r="B75" s="9"/>
      <c r="C75" s="10"/>
      <c r="D75" s="13"/>
      <c r="E75" s="10"/>
      <c r="F75" s="10"/>
      <c r="G75" s="10"/>
      <c r="H75" s="11"/>
      <c r="I75" s="11"/>
      <c r="J75" s="11"/>
      <c r="K75" s="11"/>
      <c r="L75" s="11"/>
      <c r="M75" s="11"/>
      <c r="O75" s="4">
        <v>1440</v>
      </c>
      <c r="S75" s="4"/>
      <c r="T75" s="4"/>
      <c r="U75" s="4"/>
      <c r="V75" s="4"/>
      <c r="W75" s="4"/>
      <c r="AA75" s="4"/>
      <c r="AB75" s="4"/>
      <c r="AC75" s="4"/>
      <c r="AD75" s="4"/>
      <c r="AE75" s="4"/>
      <c r="AF75" s="4"/>
      <c r="AG75" s="4"/>
      <c r="AH75" s="4"/>
    </row>
    <row r="76" spans="1:34" s="1" customFormat="1" x14ac:dyDescent="0.4">
      <c r="A76" s="9" t="str">
        <f t="shared" si="13"/>
        <v>Cliente 17</v>
      </c>
      <c r="B76" s="9"/>
      <c r="C76" s="10"/>
      <c r="D76" s="13"/>
      <c r="E76" s="10"/>
      <c r="F76" s="10"/>
      <c r="G76" s="10"/>
      <c r="H76" s="11"/>
      <c r="I76" s="11"/>
      <c r="J76" s="11"/>
      <c r="K76" s="11"/>
      <c r="L76" s="11"/>
      <c r="M76" s="11"/>
      <c r="O76" s="4"/>
      <c r="S76" s="4"/>
      <c r="T76" s="4"/>
      <c r="U76" s="4"/>
      <c r="V76" s="4"/>
      <c r="W76" s="4"/>
      <c r="AA76" s="4"/>
      <c r="AB76" s="4"/>
      <c r="AC76" s="4">
        <v>1872</v>
      </c>
      <c r="AD76" s="4"/>
      <c r="AE76" s="4"/>
      <c r="AF76" s="4"/>
      <c r="AG76" s="4"/>
      <c r="AH76" s="4"/>
    </row>
    <row r="77" spans="1:34" s="1" customFormat="1" x14ac:dyDescent="0.4">
      <c r="A77" s="9" t="str">
        <f t="shared" si="13"/>
        <v>Cliente 18</v>
      </c>
      <c r="B77" s="9"/>
      <c r="C77" s="10"/>
      <c r="D77" s="13"/>
      <c r="E77" s="10"/>
      <c r="F77" s="10"/>
      <c r="G77" s="10"/>
      <c r="H77" s="11"/>
      <c r="I77" s="11"/>
      <c r="J77" s="11"/>
      <c r="K77" s="11"/>
      <c r="L77" s="11"/>
      <c r="M77" s="11"/>
      <c r="O77" s="4"/>
      <c r="S77" s="4"/>
      <c r="T77" s="4"/>
      <c r="U77" s="4"/>
      <c r="V77" s="4"/>
      <c r="W77" s="4"/>
      <c r="AA77" s="4">
        <v>9600</v>
      </c>
      <c r="AB77" s="4"/>
      <c r="AC77" s="4"/>
      <c r="AD77" s="4"/>
      <c r="AE77" s="4"/>
      <c r="AF77" s="4"/>
      <c r="AG77" s="4"/>
      <c r="AH77" s="4"/>
    </row>
    <row r="78" spans="1:34" s="1" customFormat="1" x14ac:dyDescent="0.4">
      <c r="A78" s="9" t="str">
        <f t="shared" si="13"/>
        <v>Cliente 19</v>
      </c>
      <c r="B78" s="9"/>
      <c r="C78" s="10"/>
      <c r="D78" s="13"/>
      <c r="E78" s="10"/>
      <c r="F78" s="10"/>
      <c r="G78" s="10"/>
      <c r="H78" s="11"/>
      <c r="I78" s="11"/>
      <c r="J78" s="11"/>
      <c r="K78" s="11"/>
      <c r="L78" s="11"/>
      <c r="M78" s="11"/>
      <c r="O78" s="4"/>
      <c r="S78" s="4"/>
      <c r="T78" s="4"/>
      <c r="U78" s="4"/>
      <c r="V78" s="4"/>
      <c r="W78" s="4"/>
      <c r="AA78" s="4"/>
      <c r="AB78" s="4"/>
      <c r="AC78" s="4"/>
      <c r="AD78" s="4"/>
      <c r="AE78" s="4"/>
      <c r="AF78" s="4"/>
      <c r="AG78" s="4"/>
      <c r="AH78" s="4"/>
    </row>
    <row r="79" spans="1:34" s="1" customFormat="1" x14ac:dyDescent="0.4">
      <c r="A79" s="9" t="str">
        <f t="shared" si="13"/>
        <v>Cliente 20</v>
      </c>
      <c r="B79" s="9"/>
      <c r="C79" s="10"/>
      <c r="D79" s="13"/>
      <c r="E79" s="10"/>
      <c r="F79" s="10"/>
      <c r="G79" s="10"/>
      <c r="H79" s="11"/>
      <c r="I79" s="11"/>
      <c r="J79" s="11"/>
      <c r="K79" s="11"/>
      <c r="L79" s="11"/>
      <c r="M79" s="11"/>
      <c r="O79" s="4"/>
      <c r="S79" s="4"/>
      <c r="T79" s="4"/>
      <c r="U79" s="4"/>
      <c r="V79" s="4"/>
      <c r="W79" s="4"/>
      <c r="AC79" s="4">
        <f>21380.4*3</f>
        <v>64141.200000000004</v>
      </c>
      <c r="AF79" s="4">
        <f>14944.5*3</f>
        <v>44833.5</v>
      </c>
    </row>
    <row r="80" spans="1:34" s="1" customFormat="1" x14ac:dyDescent="0.4">
      <c r="A80" s="9" t="str">
        <f t="shared" si="13"/>
        <v>Cliente 21</v>
      </c>
      <c r="B80" s="9"/>
      <c r="C80" s="10"/>
      <c r="D80" s="13"/>
      <c r="E80" s="10"/>
      <c r="F80" s="10"/>
      <c r="G80" s="10"/>
      <c r="H80" s="11"/>
      <c r="I80" s="11"/>
      <c r="J80" s="11">
        <v>-41287.67</v>
      </c>
      <c r="K80" s="11">
        <v>41287.67</v>
      </c>
      <c r="L80" s="11"/>
      <c r="M80" s="11"/>
      <c r="O80" s="4"/>
      <c r="S80" s="4"/>
      <c r="T80" s="4"/>
      <c r="U80" s="4"/>
      <c r="V80" s="4"/>
      <c r="W80" s="4"/>
    </row>
    <row r="81" spans="1:43" s="1" customFormat="1" x14ac:dyDescent="0.4">
      <c r="A81" s="9" t="str">
        <f t="shared" si="13"/>
        <v>Cliente 22</v>
      </c>
      <c r="B81" s="9"/>
      <c r="C81" s="10"/>
      <c r="D81" s="13"/>
      <c r="E81" s="10"/>
      <c r="F81" s="10"/>
      <c r="G81" s="10"/>
      <c r="H81" s="11"/>
      <c r="I81" s="11"/>
      <c r="J81" s="11"/>
      <c r="K81" s="11"/>
      <c r="L81" s="11"/>
      <c r="M81" s="11"/>
      <c r="O81" s="4"/>
      <c r="S81" s="4"/>
      <c r="T81" s="4"/>
      <c r="U81" s="4"/>
      <c r="V81" s="4"/>
      <c r="W81" s="4"/>
      <c r="AC81" s="4">
        <v>1710.72</v>
      </c>
    </row>
    <row r="82" spans="1:43" s="1" customFormat="1" x14ac:dyDescent="0.4">
      <c r="A82" s="9" t="str">
        <f t="shared" si="13"/>
        <v>Cliente 23</v>
      </c>
      <c r="B82" s="9"/>
      <c r="C82" s="10"/>
      <c r="D82" s="13"/>
      <c r="E82" s="10"/>
      <c r="F82" s="10"/>
      <c r="G82" s="10"/>
      <c r="H82" s="11"/>
      <c r="I82" s="11"/>
      <c r="J82" s="11"/>
      <c r="K82" s="11"/>
      <c r="L82" s="11"/>
      <c r="M82" s="11"/>
      <c r="O82" s="4"/>
      <c r="S82" s="4"/>
      <c r="T82" s="4"/>
      <c r="U82" s="4"/>
      <c r="V82" s="4"/>
      <c r="W82" s="4"/>
    </row>
    <row r="83" spans="1:43" s="18" customFormat="1" x14ac:dyDescent="0.4">
      <c r="A83" s="17" t="s">
        <v>45</v>
      </c>
      <c r="B83" s="1">
        <f t="shared" ref="B83:I83" si="14">SUM(B60:B75)</f>
        <v>0</v>
      </c>
      <c r="C83" s="1">
        <f t="shared" si="14"/>
        <v>83817.600000000006</v>
      </c>
      <c r="D83" s="1">
        <f t="shared" si="14"/>
        <v>0</v>
      </c>
      <c r="E83" s="1">
        <f t="shared" si="14"/>
        <v>0</v>
      </c>
      <c r="F83" s="1">
        <f t="shared" si="14"/>
        <v>50337</v>
      </c>
      <c r="G83" s="1">
        <f t="shared" si="14"/>
        <v>0</v>
      </c>
      <c r="H83" s="1">
        <f t="shared" si="14"/>
        <v>0</v>
      </c>
      <c r="I83" s="1">
        <f t="shared" si="14"/>
        <v>94107.24</v>
      </c>
      <c r="J83" s="1">
        <f>SUM(J60:J80)</f>
        <v>54203.900000000009</v>
      </c>
      <c r="K83" s="1">
        <f>SUM(K60:K80)</f>
        <v>41287.67</v>
      </c>
      <c r="L83" s="1">
        <f t="shared" ref="L83:U83" si="15">SUM(L60:L76)</f>
        <v>73795.7</v>
      </c>
      <c r="M83" s="1">
        <f t="shared" si="15"/>
        <v>0</v>
      </c>
      <c r="N83" s="1">
        <f t="shared" si="15"/>
        <v>0</v>
      </c>
      <c r="O83" s="1">
        <f t="shared" si="15"/>
        <v>63458.44</v>
      </c>
      <c r="P83" s="1">
        <f t="shared" si="15"/>
        <v>40904.39</v>
      </c>
      <c r="Q83" s="1">
        <f t="shared" si="15"/>
        <v>39680</v>
      </c>
      <c r="R83" s="1">
        <f t="shared" si="15"/>
        <v>50477</v>
      </c>
      <c r="S83" s="1">
        <f t="shared" si="15"/>
        <v>30125</v>
      </c>
      <c r="T83" s="1">
        <f t="shared" si="15"/>
        <v>0</v>
      </c>
      <c r="U83" s="1">
        <f t="shared" si="15"/>
        <v>10216</v>
      </c>
      <c r="V83" s="1">
        <f t="shared" ref="V83:AA83" si="16">SUM(V60:V80)</f>
        <v>0</v>
      </c>
      <c r="W83" s="1">
        <f t="shared" si="16"/>
        <v>17000</v>
      </c>
      <c r="X83" s="1">
        <f t="shared" si="16"/>
        <v>14020.79</v>
      </c>
      <c r="Y83" s="1">
        <f t="shared" si="16"/>
        <v>29937.66</v>
      </c>
      <c r="Z83" s="1">
        <f t="shared" si="16"/>
        <v>57678.979999999996</v>
      </c>
      <c r="AA83" s="1">
        <f t="shared" si="16"/>
        <v>55078.78</v>
      </c>
      <c r="AB83" s="1">
        <f t="shared" ref="AB83:AP83" si="17">SUM(AB60:AB82)</f>
        <v>43082</v>
      </c>
      <c r="AC83" s="1">
        <f t="shared" si="17"/>
        <v>200870.71000000002</v>
      </c>
      <c r="AD83" s="1">
        <f t="shared" si="17"/>
        <v>0</v>
      </c>
      <c r="AE83" s="1">
        <f t="shared" si="17"/>
        <v>115773.20999999999</v>
      </c>
      <c r="AF83" s="1">
        <f t="shared" si="17"/>
        <v>48122.12</v>
      </c>
      <c r="AG83" s="1">
        <f t="shared" si="17"/>
        <v>0</v>
      </c>
      <c r="AH83" s="1">
        <f t="shared" si="17"/>
        <v>0</v>
      </c>
      <c r="AI83" s="1">
        <f t="shared" si="17"/>
        <v>0</v>
      </c>
      <c r="AJ83" s="1">
        <f t="shared" si="17"/>
        <v>0</v>
      </c>
      <c r="AK83" s="1">
        <f t="shared" si="17"/>
        <v>0</v>
      </c>
      <c r="AL83" s="1">
        <f t="shared" si="17"/>
        <v>0</v>
      </c>
      <c r="AM83" s="1">
        <f t="shared" si="17"/>
        <v>0</v>
      </c>
      <c r="AN83" s="1">
        <f t="shared" si="17"/>
        <v>0</v>
      </c>
      <c r="AO83" s="1">
        <f t="shared" si="17"/>
        <v>0</v>
      </c>
      <c r="AP83" s="1">
        <f t="shared" si="17"/>
        <v>0</v>
      </c>
    </row>
    <row r="84" spans="1:43" s="1" customFormat="1" x14ac:dyDescent="0.4">
      <c r="A84" s="9"/>
      <c r="B84" s="9"/>
      <c r="C84" s="10"/>
      <c r="D84" s="13"/>
      <c r="E84" s="10"/>
      <c r="F84" s="10"/>
      <c r="G84" s="10"/>
      <c r="H84" s="11"/>
      <c r="I84" s="11"/>
      <c r="J84" s="11"/>
      <c r="K84" s="11"/>
      <c r="L84" s="11"/>
      <c r="M84" s="11"/>
    </row>
    <row r="86" spans="1:43" s="29" customFormat="1" x14ac:dyDescent="0.4">
      <c r="A86" s="28" t="s">
        <v>106</v>
      </c>
      <c r="C86" s="30" t="s">
        <v>53</v>
      </c>
      <c r="D86" s="30" t="s">
        <v>53</v>
      </c>
      <c r="E86" s="30" t="s">
        <v>53</v>
      </c>
      <c r="F86" s="30" t="s">
        <v>53</v>
      </c>
      <c r="G86" s="30" t="s">
        <v>53</v>
      </c>
      <c r="H86" s="30" t="s">
        <v>53</v>
      </c>
      <c r="I86" s="30" t="s">
        <v>53</v>
      </c>
      <c r="J86" s="30" t="s">
        <v>53</v>
      </c>
      <c r="K86" s="30" t="s">
        <v>53</v>
      </c>
      <c r="L86" s="30" t="s">
        <v>53</v>
      </c>
      <c r="M86" s="30" t="s">
        <v>53</v>
      </c>
      <c r="N86" s="30" t="s">
        <v>53</v>
      </c>
      <c r="O86" s="30" t="s">
        <v>53</v>
      </c>
      <c r="P86" s="30" t="s">
        <v>53</v>
      </c>
      <c r="Q86" s="30" t="s">
        <v>53</v>
      </c>
      <c r="R86" s="30" t="s">
        <v>53</v>
      </c>
      <c r="S86" s="30" t="s">
        <v>53</v>
      </c>
      <c r="T86" s="30" t="s">
        <v>53</v>
      </c>
      <c r="U86" s="30" t="s">
        <v>53</v>
      </c>
      <c r="V86" s="30" t="s">
        <v>53</v>
      </c>
      <c r="W86" s="29" t="str">
        <f t="shared" ref="W86:AQ86" si="18">+W58</f>
        <v>Consuntivato</v>
      </c>
      <c r="X86" s="29" t="str">
        <f t="shared" si="18"/>
        <v>Consuntivato</v>
      </c>
      <c r="Y86" s="29" t="str">
        <f t="shared" si="18"/>
        <v>Consuntivato</v>
      </c>
      <c r="Z86" s="46" t="str">
        <f t="shared" si="18"/>
        <v>Consuntivato</v>
      </c>
      <c r="AA86" s="46" t="str">
        <f t="shared" si="18"/>
        <v>Consuntivato</v>
      </c>
      <c r="AB86" s="46" t="str">
        <f t="shared" si="18"/>
        <v>Consuntivato</v>
      </c>
      <c r="AC86" s="46" t="str">
        <f t="shared" si="18"/>
        <v>Consuntivato</v>
      </c>
      <c r="AD86" s="46" t="str">
        <f t="shared" si="18"/>
        <v>Consuntivato</v>
      </c>
      <c r="AE86" s="46" t="str">
        <f t="shared" si="18"/>
        <v>Consuntivato</v>
      </c>
      <c r="AF86" s="46" t="str">
        <f t="shared" si="18"/>
        <v>Consuntivato</v>
      </c>
      <c r="AG86" s="46">
        <f t="shared" si="18"/>
        <v>0</v>
      </c>
      <c r="AH86" s="46">
        <f t="shared" si="18"/>
        <v>0</v>
      </c>
      <c r="AI86" s="46">
        <f t="shared" si="18"/>
        <v>0</v>
      </c>
      <c r="AJ86" s="46">
        <f t="shared" si="18"/>
        <v>0</v>
      </c>
      <c r="AK86" s="29">
        <f t="shared" si="18"/>
        <v>0</v>
      </c>
      <c r="AL86" s="29">
        <f t="shared" si="18"/>
        <v>0</v>
      </c>
      <c r="AM86" s="29">
        <f t="shared" si="18"/>
        <v>0</v>
      </c>
      <c r="AN86" s="29">
        <f t="shared" si="18"/>
        <v>0</v>
      </c>
      <c r="AO86" s="29">
        <f t="shared" si="18"/>
        <v>0</v>
      </c>
      <c r="AP86" s="29">
        <f t="shared" si="18"/>
        <v>0</v>
      </c>
      <c r="AQ86" s="29">
        <f t="shared" si="18"/>
        <v>0</v>
      </c>
    </row>
    <row r="87" spans="1:43" s="15" customFormat="1" ht="15" x14ac:dyDescent="0.5">
      <c r="A87" s="16">
        <f>+A2</f>
        <v>2019</v>
      </c>
      <c r="B87" s="2">
        <v>4</v>
      </c>
      <c r="C87" s="2">
        <v>5</v>
      </c>
      <c r="D87" s="2">
        <v>6</v>
      </c>
      <c r="E87" s="2">
        <v>7</v>
      </c>
      <c r="F87" s="2">
        <v>8</v>
      </c>
      <c r="G87" s="2">
        <v>9</v>
      </c>
      <c r="H87" s="2">
        <v>10</v>
      </c>
      <c r="I87" s="2">
        <v>11</v>
      </c>
      <c r="J87" s="2">
        <v>12</v>
      </c>
      <c r="K87" s="22">
        <v>1</v>
      </c>
      <c r="L87" s="22">
        <v>2</v>
      </c>
      <c r="M87" s="22">
        <v>3</v>
      </c>
      <c r="N87" s="22">
        <v>4</v>
      </c>
      <c r="O87" s="22">
        <v>5</v>
      </c>
      <c r="P87" s="22">
        <v>6</v>
      </c>
      <c r="Q87" s="22">
        <v>7</v>
      </c>
      <c r="R87" s="22">
        <v>8</v>
      </c>
      <c r="S87" s="22">
        <v>9</v>
      </c>
      <c r="T87" s="22">
        <v>10</v>
      </c>
      <c r="U87" s="22">
        <v>11</v>
      </c>
      <c r="V87" s="22">
        <v>12</v>
      </c>
      <c r="W87" s="22">
        <v>1</v>
      </c>
      <c r="X87" s="22">
        <v>2</v>
      </c>
      <c r="Y87" s="22">
        <v>3</v>
      </c>
      <c r="Z87" s="22">
        <v>4</v>
      </c>
      <c r="AA87" s="22">
        <v>5</v>
      </c>
      <c r="AB87" s="22">
        <v>6</v>
      </c>
      <c r="AC87" s="22">
        <v>7</v>
      </c>
      <c r="AD87" s="22">
        <v>8</v>
      </c>
      <c r="AE87" s="22">
        <v>9</v>
      </c>
      <c r="AF87" s="22">
        <v>10</v>
      </c>
      <c r="AG87" s="22">
        <v>11</v>
      </c>
      <c r="AH87" s="22">
        <v>12</v>
      </c>
      <c r="AI87" s="22">
        <v>1</v>
      </c>
      <c r="AJ87" s="22">
        <v>2</v>
      </c>
      <c r="AK87" s="22">
        <v>3</v>
      </c>
      <c r="AL87" s="22">
        <v>4</v>
      </c>
      <c r="AM87" s="22">
        <v>5</v>
      </c>
      <c r="AN87" s="22">
        <v>6</v>
      </c>
      <c r="AO87" s="22">
        <v>7</v>
      </c>
      <c r="AP87" s="22">
        <v>8</v>
      </c>
    </row>
    <row r="88" spans="1:43" s="4" customFormat="1" x14ac:dyDescent="0.4">
      <c r="A88" s="9" t="str">
        <f t="shared" ref="A88:A110" si="19">+A60</f>
        <v>Cliente 1</v>
      </c>
    </row>
    <row r="89" spans="1:43" s="4" customFormat="1" x14ac:dyDescent="0.4">
      <c r="A89" s="9" t="str">
        <f t="shared" si="19"/>
        <v>Cliente 2</v>
      </c>
      <c r="T89" s="8"/>
      <c r="Z89" s="8"/>
      <c r="AA89" s="8"/>
      <c r="AC89" s="4">
        <v>7166</v>
      </c>
      <c r="AD89" s="4">
        <v>7166</v>
      </c>
      <c r="AE89" s="8">
        <f>+AC61/2</f>
        <v>25776</v>
      </c>
      <c r="AF89" s="4">
        <f>+AC61/2</f>
        <v>25776</v>
      </c>
    </row>
    <row r="90" spans="1:43" s="4" customFormat="1" x14ac:dyDescent="0.4">
      <c r="A90" s="9" t="str">
        <f t="shared" si="19"/>
        <v>Cliente 3</v>
      </c>
      <c r="K90" s="8"/>
      <c r="L90" s="8"/>
      <c r="M90" s="8">
        <v>30300.240000000002</v>
      </c>
      <c r="N90" s="8"/>
      <c r="O90" s="8"/>
      <c r="R90" s="4">
        <v>31101</v>
      </c>
      <c r="T90" s="8">
        <v>14675</v>
      </c>
      <c r="U90" s="4">
        <v>29350</v>
      </c>
      <c r="W90" s="4">
        <f>+S62</f>
        <v>29350</v>
      </c>
      <c r="Z90" s="8"/>
      <c r="AA90" s="8"/>
      <c r="AB90" s="4">
        <f>+Y62</f>
        <v>13509.33</v>
      </c>
      <c r="AD90" s="4">
        <v>39184.519999999997</v>
      </c>
      <c r="AE90" s="8"/>
      <c r="AG90" s="4">
        <v>12910.03</v>
      </c>
    </row>
    <row r="91" spans="1:43" s="1" customFormat="1" x14ac:dyDescent="0.4">
      <c r="A91" s="9" t="str">
        <f t="shared" si="19"/>
        <v>Cliente 4</v>
      </c>
      <c r="B91" s="10"/>
      <c r="C91" s="10"/>
      <c r="D91" s="10"/>
      <c r="E91" s="10"/>
      <c r="F91" s="10">
        <f>+C63</f>
        <v>1596</v>
      </c>
      <c r="G91" s="10"/>
      <c r="H91" s="25"/>
      <c r="I91" s="25"/>
      <c r="J91" s="25"/>
      <c r="K91" s="26"/>
      <c r="L91" s="26"/>
      <c r="M91" s="24"/>
      <c r="N91" s="5"/>
      <c r="O91" s="8"/>
      <c r="P91" s="4"/>
      <c r="Q91" s="4"/>
      <c r="R91" s="4"/>
      <c r="T91" s="8">
        <v>1104</v>
      </c>
      <c r="Z91" s="8">
        <v>1300</v>
      </c>
      <c r="AA91" s="8">
        <f>500+810</f>
        <v>1310</v>
      </c>
      <c r="AB91" s="4">
        <v>650</v>
      </c>
      <c r="AC91" s="4">
        <v>1900</v>
      </c>
      <c r="AE91" s="8">
        <v>1404</v>
      </c>
    </row>
    <row r="92" spans="1:43" s="1" customFormat="1" x14ac:dyDescent="0.4">
      <c r="A92" s="9" t="str">
        <f t="shared" si="19"/>
        <v>Cliente 5</v>
      </c>
      <c r="B92" s="10"/>
      <c r="C92" s="10"/>
      <c r="D92" s="10"/>
      <c r="E92" s="10">
        <v>4219.2</v>
      </c>
      <c r="F92" s="10"/>
      <c r="G92" s="10"/>
      <c r="H92" s="25"/>
      <c r="I92" s="25"/>
      <c r="J92" s="25"/>
      <c r="K92" s="26"/>
      <c r="L92" s="26"/>
      <c r="M92" s="24"/>
      <c r="N92" s="5"/>
      <c r="O92" s="8"/>
      <c r="P92" s="4"/>
      <c r="Q92" s="4"/>
      <c r="R92" s="4"/>
      <c r="S92" s="4">
        <v>6328.8</v>
      </c>
      <c r="T92" s="5"/>
      <c r="U92" s="4"/>
      <c r="Z92" s="5"/>
      <c r="AA92" s="5"/>
      <c r="AE92" s="5"/>
    </row>
    <row r="93" spans="1:43" s="1" customFormat="1" x14ac:dyDescent="0.4">
      <c r="A93" s="9" t="str">
        <f t="shared" si="19"/>
        <v>Cliente 6</v>
      </c>
      <c r="B93" s="10"/>
      <c r="E93" s="10"/>
      <c r="F93" s="10"/>
      <c r="G93" s="10"/>
      <c r="H93" s="25"/>
      <c r="I93" s="25"/>
      <c r="J93" s="25"/>
      <c r="K93" s="26"/>
      <c r="L93" s="26"/>
      <c r="M93" s="24"/>
      <c r="N93" s="5"/>
      <c r="O93" s="8"/>
      <c r="P93" s="4"/>
      <c r="Q93" s="4"/>
      <c r="R93" s="4"/>
      <c r="S93" s="4">
        <v>3664.8</v>
      </c>
      <c r="T93" s="5"/>
      <c r="Z93" s="5"/>
      <c r="AA93" s="8"/>
      <c r="AB93" s="4"/>
      <c r="AE93" s="5"/>
    </row>
    <row r="94" spans="1:43" s="1" customFormat="1" x14ac:dyDescent="0.4">
      <c r="A94" s="9" t="str">
        <f t="shared" si="19"/>
        <v>Cliente 7</v>
      </c>
      <c r="B94" s="10"/>
      <c r="C94" s="4"/>
      <c r="D94" s="10"/>
      <c r="E94" s="10"/>
      <c r="F94" s="10">
        <f>10250+4370</f>
        <v>14620</v>
      </c>
      <c r="G94" s="10"/>
      <c r="H94" s="25"/>
      <c r="I94" s="25"/>
      <c r="J94" s="25"/>
      <c r="K94" s="26"/>
      <c r="L94" s="26"/>
      <c r="M94" s="26">
        <v>1420</v>
      </c>
      <c r="N94" s="5"/>
      <c r="O94" s="8"/>
      <c r="P94" s="4"/>
      <c r="Q94" s="4"/>
      <c r="R94" s="4">
        <v>570</v>
      </c>
      <c r="T94" s="8">
        <v>2910</v>
      </c>
      <c r="U94" s="4">
        <v>1815</v>
      </c>
      <c r="X94" s="4">
        <f>+U66</f>
        <v>3810</v>
      </c>
      <c r="Z94" s="5"/>
      <c r="AA94" s="8">
        <v>600</v>
      </c>
      <c r="AB94" s="4">
        <f>1200+600</f>
        <v>1800</v>
      </c>
      <c r="AD94" s="4">
        <v>14800</v>
      </c>
      <c r="AE94" s="5"/>
      <c r="AF94" s="4">
        <v>10200</v>
      </c>
      <c r="AJ94" s="4">
        <v>2400</v>
      </c>
    </row>
    <row r="95" spans="1:43" s="1" customFormat="1" x14ac:dyDescent="0.4">
      <c r="A95" s="9" t="str">
        <f t="shared" si="19"/>
        <v>Cliente 8</v>
      </c>
      <c r="B95" s="10"/>
      <c r="C95" s="10"/>
      <c r="D95" s="10"/>
      <c r="E95" s="10"/>
      <c r="F95" s="10"/>
      <c r="G95" s="10"/>
      <c r="H95" s="25"/>
      <c r="I95" s="25"/>
      <c r="J95" s="25"/>
      <c r="K95" s="26">
        <f>7200</f>
        <v>7200</v>
      </c>
      <c r="L95" s="5"/>
      <c r="M95" s="26">
        <f>310*38*1.2</f>
        <v>14136</v>
      </c>
      <c r="N95" s="8"/>
      <c r="O95" s="26">
        <v>24168</v>
      </c>
      <c r="P95" s="4"/>
      <c r="Q95" s="4"/>
      <c r="R95" s="4"/>
      <c r="T95" s="5"/>
      <c r="Z95" s="5"/>
      <c r="AA95" s="5"/>
      <c r="AE95" s="5"/>
    </row>
    <row r="96" spans="1:43" s="1" customFormat="1" x14ac:dyDescent="0.4">
      <c r="A96" s="9" t="str">
        <f t="shared" si="19"/>
        <v>Cliente 9</v>
      </c>
      <c r="B96" s="10"/>
      <c r="C96" s="10"/>
      <c r="D96" s="4"/>
      <c r="E96" s="4"/>
      <c r="F96" s="10">
        <f>(36669-7747)*1.2</f>
        <v>34706.400000000001</v>
      </c>
      <c r="G96" s="10"/>
      <c r="H96" s="10"/>
      <c r="I96" s="10"/>
      <c r="J96" s="25"/>
      <c r="K96" s="26"/>
      <c r="L96" s="26">
        <v>23952</v>
      </c>
      <c r="M96" s="24"/>
      <c r="N96" s="8"/>
      <c r="O96" s="8"/>
      <c r="P96" s="4"/>
      <c r="Q96" s="4"/>
      <c r="R96" s="4"/>
      <c r="T96" s="5"/>
      <c r="Z96" s="5"/>
      <c r="AA96" s="5"/>
      <c r="AE96" s="5"/>
    </row>
    <row r="97" spans="1:42" s="1" customFormat="1" x14ac:dyDescent="0.4">
      <c r="A97" s="9" t="str">
        <f t="shared" si="19"/>
        <v>Cliente 10</v>
      </c>
      <c r="B97" s="9"/>
      <c r="C97" s="10"/>
      <c r="D97" s="4"/>
      <c r="E97" s="4">
        <v>38218.050000000003</v>
      </c>
      <c r="F97" s="10">
        <f>+C69</f>
        <v>32895.199999999997</v>
      </c>
      <c r="G97" s="10"/>
      <c r="H97" s="10">
        <v>21855</v>
      </c>
      <c r="I97" s="25">
        <v>28482</v>
      </c>
      <c r="J97" s="25"/>
      <c r="K97" s="26"/>
      <c r="L97" s="26">
        <v>6815</v>
      </c>
      <c r="M97" s="26">
        <v>53755.57</v>
      </c>
      <c r="N97" s="8">
        <v>1813.5</v>
      </c>
      <c r="O97" s="8"/>
      <c r="P97" s="4"/>
      <c r="Q97" s="4">
        <v>29207.439999999999</v>
      </c>
      <c r="R97" s="4"/>
      <c r="T97" s="8">
        <f>12545.79+1380</f>
        <v>13925.79</v>
      </c>
      <c r="U97" s="4">
        <f>+S69</f>
        <v>775</v>
      </c>
      <c r="W97" s="4">
        <f>+U69</f>
        <v>6406</v>
      </c>
      <c r="Z97" s="8">
        <v>494</v>
      </c>
      <c r="AA97" s="8">
        <f>9516.92+4663.25</f>
        <v>14180.17</v>
      </c>
      <c r="AB97" s="4">
        <v>4663.25</v>
      </c>
      <c r="AC97" s="4">
        <f>1028.58+4663.25+4658+1730</f>
        <v>12079.83</v>
      </c>
      <c r="AD97" s="4">
        <f>17844.46+4658+28750</f>
        <v>51252.46</v>
      </c>
      <c r="AE97" s="8">
        <f>4658+13074.78</f>
        <v>17732.78</v>
      </c>
      <c r="AF97" s="4">
        <v>25626.23</v>
      </c>
      <c r="AG97" s="4">
        <v>40459.9</v>
      </c>
      <c r="AH97" s="4">
        <v>16220.86</v>
      </c>
      <c r="AJ97" s="4">
        <v>90146.98</v>
      </c>
      <c r="AK97" s="4">
        <v>480</v>
      </c>
    </row>
    <row r="98" spans="1:42" s="1" customFormat="1" x14ac:dyDescent="0.4">
      <c r="A98" s="9" t="str">
        <f t="shared" si="19"/>
        <v>Cliente 11</v>
      </c>
      <c r="B98" s="9"/>
      <c r="C98" s="10"/>
      <c r="D98" s="10"/>
      <c r="E98" s="10"/>
      <c r="F98" s="10"/>
      <c r="G98" s="10"/>
      <c r="H98" s="25"/>
      <c r="I98" s="25"/>
      <c r="J98" s="25"/>
      <c r="K98" s="26"/>
      <c r="L98" s="26"/>
      <c r="M98" s="24"/>
      <c r="N98" s="8"/>
      <c r="O98" s="8"/>
      <c r="P98" s="4"/>
      <c r="Q98" s="4"/>
      <c r="R98" s="4"/>
      <c r="T98" s="5"/>
      <c r="Z98" s="5"/>
      <c r="AA98" s="5"/>
      <c r="AE98" s="5"/>
    </row>
    <row r="99" spans="1:42" s="1" customFormat="1" x14ac:dyDescent="0.4">
      <c r="A99" s="9" t="str">
        <f t="shared" si="19"/>
        <v>Cliente 12</v>
      </c>
      <c r="B99" s="9"/>
      <c r="C99" s="10"/>
      <c r="D99" s="10"/>
      <c r="E99" s="10"/>
      <c r="F99" s="10"/>
      <c r="G99" s="10"/>
      <c r="H99" s="25"/>
      <c r="I99" s="25"/>
      <c r="J99" s="25"/>
      <c r="K99" s="26"/>
      <c r="L99" s="26"/>
      <c r="M99" s="24"/>
      <c r="N99" s="26">
        <v>47814.2</v>
      </c>
      <c r="O99" s="8"/>
      <c r="P99" s="4"/>
      <c r="Q99" s="4">
        <v>1140</v>
      </c>
      <c r="R99" s="4"/>
      <c r="S99" s="4">
        <f>780+46178</f>
        <v>46958</v>
      </c>
      <c r="T99" s="5"/>
      <c r="Z99" s="8">
        <f>+W71</f>
        <v>17000</v>
      </c>
      <c r="AA99" s="5"/>
      <c r="AE99" s="8">
        <v>400</v>
      </c>
    </row>
    <row r="100" spans="1:42" s="1" customFormat="1" x14ac:dyDescent="0.4">
      <c r="A100" s="9" t="str">
        <f t="shared" si="19"/>
        <v>Cliente 13</v>
      </c>
      <c r="B100" s="9"/>
      <c r="C100" s="10"/>
      <c r="D100" s="10"/>
      <c r="E100" s="10">
        <v>1152</v>
      </c>
      <c r="F100" s="10"/>
      <c r="G100" s="10"/>
      <c r="H100" s="25"/>
      <c r="I100" s="25"/>
      <c r="J100" s="25"/>
      <c r="K100" s="26"/>
      <c r="L100" s="26"/>
      <c r="M100" s="24"/>
      <c r="N100" s="8"/>
      <c r="O100" s="8"/>
      <c r="P100" s="4"/>
      <c r="Q100" s="4"/>
      <c r="R100" s="4"/>
      <c r="T100" s="5"/>
      <c r="Z100" s="5"/>
      <c r="AA100" s="8">
        <v>409.87</v>
      </c>
      <c r="AE100" s="5"/>
      <c r="AI100" s="4">
        <v>408.62</v>
      </c>
    </row>
    <row r="101" spans="1:42" s="1" customFormat="1" x14ac:dyDescent="0.4">
      <c r="A101" s="9" t="str">
        <f t="shared" si="19"/>
        <v>Cliente 14</v>
      </c>
      <c r="B101" s="9"/>
      <c r="C101" s="10"/>
      <c r="D101" s="10"/>
      <c r="E101" s="10"/>
      <c r="F101" s="10"/>
      <c r="G101" s="10"/>
      <c r="H101" s="25"/>
      <c r="I101" s="25"/>
      <c r="J101" s="25"/>
      <c r="K101" s="26"/>
      <c r="L101" s="26">
        <v>10540</v>
      </c>
      <c r="M101" s="26">
        <v>10540</v>
      </c>
      <c r="N101" s="26">
        <v>10540</v>
      </c>
      <c r="O101" s="8"/>
      <c r="P101" s="4"/>
      <c r="Q101" s="4"/>
      <c r="R101" s="4"/>
      <c r="T101" s="8">
        <v>10330</v>
      </c>
      <c r="Z101" s="5"/>
      <c r="AA101" s="5"/>
      <c r="AE101" s="5"/>
    </row>
    <row r="102" spans="1:42" s="1" customFormat="1" x14ac:dyDescent="0.4">
      <c r="A102" s="9" t="str">
        <f t="shared" si="19"/>
        <v>Cliente 15</v>
      </c>
      <c r="B102" s="9"/>
      <c r="C102" s="10"/>
      <c r="D102" s="10"/>
      <c r="E102" s="10"/>
      <c r="F102" s="10"/>
      <c r="G102" s="10"/>
      <c r="H102" s="25"/>
      <c r="I102" s="25"/>
      <c r="J102" s="25"/>
      <c r="K102" s="26"/>
      <c r="L102" s="5"/>
      <c r="M102" s="26">
        <v>10200</v>
      </c>
      <c r="N102" s="26">
        <v>10200</v>
      </c>
      <c r="O102" s="8"/>
      <c r="P102" s="4"/>
      <c r="Q102" s="4"/>
      <c r="R102" s="4"/>
      <c r="T102" s="5"/>
      <c r="Z102" s="5"/>
      <c r="AA102" s="5"/>
      <c r="AE102" s="5"/>
    </row>
    <row r="103" spans="1:42" s="1" customFormat="1" x14ac:dyDescent="0.4">
      <c r="A103" s="9" t="str">
        <f t="shared" si="19"/>
        <v>Cliente 16</v>
      </c>
      <c r="B103" s="9"/>
      <c r="C103" s="10"/>
      <c r="D103" s="10"/>
      <c r="E103" s="10"/>
      <c r="F103" s="10"/>
      <c r="G103" s="10"/>
      <c r="H103" s="11"/>
      <c r="I103" s="11"/>
      <c r="J103" s="11"/>
      <c r="K103" s="11"/>
      <c r="L103" s="11"/>
      <c r="M103" s="11"/>
      <c r="O103" s="4"/>
      <c r="P103" s="4"/>
      <c r="Q103" s="4">
        <v>1440</v>
      </c>
      <c r="R103" s="4"/>
      <c r="T103" s="5"/>
      <c r="Z103" s="5"/>
      <c r="AE103" s="5"/>
    </row>
    <row r="104" spans="1:42" s="1" customFormat="1" x14ac:dyDescent="0.4">
      <c r="A104" s="9" t="str">
        <f t="shared" si="19"/>
        <v>Cliente 17</v>
      </c>
      <c r="B104" s="9"/>
      <c r="C104" s="10"/>
      <c r="D104" s="10"/>
      <c r="E104" s="10"/>
      <c r="F104" s="10"/>
      <c r="G104" s="10"/>
      <c r="H104" s="11"/>
      <c r="I104" s="11"/>
      <c r="J104" s="11"/>
      <c r="K104" s="11"/>
      <c r="L104" s="11"/>
      <c r="M104" s="11"/>
      <c r="O104" s="4"/>
      <c r="P104" s="4"/>
      <c r="Q104" s="4"/>
      <c r="R104" s="4"/>
      <c r="T104" s="5"/>
      <c r="AE104" s="8">
        <v>1872</v>
      </c>
    </row>
    <row r="105" spans="1:42" s="1" customFormat="1" x14ac:dyDescent="0.4">
      <c r="A105" s="9" t="str">
        <f t="shared" si="19"/>
        <v>Cliente 18</v>
      </c>
      <c r="B105" s="9"/>
      <c r="C105" s="10"/>
      <c r="D105" s="10"/>
      <c r="E105" s="10"/>
      <c r="F105" s="10"/>
      <c r="G105" s="10"/>
      <c r="H105" s="11"/>
      <c r="I105" s="11"/>
      <c r="J105" s="11"/>
      <c r="K105" s="11"/>
      <c r="L105" s="11"/>
      <c r="M105" s="11"/>
      <c r="O105" s="4"/>
      <c r="P105" s="4"/>
      <c r="Q105" s="4"/>
      <c r="R105" s="4"/>
      <c r="T105" s="5"/>
      <c r="AC105" s="8">
        <v>4800</v>
      </c>
      <c r="AD105" s="8">
        <v>4800</v>
      </c>
      <c r="AE105" s="5"/>
    </row>
    <row r="106" spans="1:42" s="1" customFormat="1" x14ac:dyDescent="0.4">
      <c r="A106" s="9" t="str">
        <f t="shared" si="19"/>
        <v>Cliente 19</v>
      </c>
      <c r="B106" s="9"/>
      <c r="C106" s="10"/>
      <c r="D106" s="10"/>
      <c r="E106" s="10"/>
      <c r="F106" s="10"/>
      <c r="G106" s="10"/>
      <c r="H106" s="11"/>
      <c r="I106" s="11"/>
      <c r="J106" s="11"/>
      <c r="K106" s="11"/>
      <c r="L106" s="11"/>
      <c r="M106" s="11"/>
      <c r="O106" s="4"/>
      <c r="P106" s="4"/>
      <c r="Q106" s="4"/>
      <c r="R106" s="4"/>
      <c r="T106" s="5"/>
      <c r="AE106" s="5"/>
    </row>
    <row r="107" spans="1:42" s="1" customFormat="1" x14ac:dyDescent="0.4">
      <c r="A107" s="9" t="str">
        <f t="shared" si="19"/>
        <v>Cliente 20</v>
      </c>
      <c r="B107" s="9"/>
      <c r="C107" s="10"/>
      <c r="D107" s="10"/>
      <c r="E107" s="10"/>
      <c r="F107" s="10"/>
      <c r="G107" s="10"/>
      <c r="H107" s="11"/>
      <c r="I107" s="11"/>
      <c r="J107" s="11"/>
      <c r="K107" s="11"/>
      <c r="L107" s="11"/>
      <c r="M107" s="11"/>
      <c r="O107" s="4"/>
      <c r="P107" s="4"/>
      <c r="Q107" s="4"/>
      <c r="R107" s="4"/>
      <c r="T107" s="5"/>
      <c r="AE107" s="5"/>
      <c r="AF107" s="4">
        <v>21380.400000000001</v>
      </c>
      <c r="AG107" s="4">
        <v>21380.400000000001</v>
      </c>
      <c r="AH107" s="4">
        <v>21380.400000000001</v>
      </c>
      <c r="AI107" s="4">
        <v>14944.5</v>
      </c>
      <c r="AJ107" s="4">
        <v>14944.5</v>
      </c>
      <c r="AK107" s="4">
        <v>14944.5</v>
      </c>
    </row>
    <row r="108" spans="1:42" s="1" customFormat="1" x14ac:dyDescent="0.4">
      <c r="A108" s="9" t="str">
        <f t="shared" si="19"/>
        <v>Cliente 21</v>
      </c>
      <c r="B108" s="9"/>
      <c r="C108" s="10"/>
      <c r="D108" s="10"/>
      <c r="E108" s="10"/>
      <c r="F108" s="10"/>
      <c r="G108" s="10"/>
      <c r="H108" s="11"/>
      <c r="I108" s="11"/>
      <c r="J108" s="11"/>
      <c r="K108" s="11"/>
      <c r="L108" s="11"/>
      <c r="M108" s="11"/>
      <c r="O108" s="4"/>
      <c r="P108" s="4"/>
      <c r="Q108" s="4"/>
      <c r="R108" s="4"/>
      <c r="T108" s="5"/>
      <c r="AE108" s="5"/>
    </row>
    <row r="109" spans="1:42" s="1" customFormat="1" x14ac:dyDescent="0.4">
      <c r="A109" s="9" t="str">
        <f t="shared" si="19"/>
        <v>Cliente 22</v>
      </c>
      <c r="B109" s="9"/>
      <c r="C109" s="10"/>
      <c r="D109" s="10"/>
      <c r="E109" s="10"/>
      <c r="F109" s="10"/>
      <c r="G109" s="10"/>
      <c r="H109" s="11"/>
      <c r="I109" s="11"/>
      <c r="J109" s="11"/>
      <c r="K109" s="11"/>
      <c r="L109" s="11"/>
      <c r="M109" s="11"/>
      <c r="O109" s="4"/>
      <c r="P109" s="4"/>
      <c r="Q109" s="4"/>
      <c r="R109" s="4"/>
      <c r="T109" s="5"/>
      <c r="AE109" s="5"/>
      <c r="AF109" s="4">
        <v>1710.72</v>
      </c>
    </row>
    <row r="110" spans="1:42" s="1" customFormat="1" x14ac:dyDescent="0.4">
      <c r="A110" s="9" t="str">
        <f t="shared" si="19"/>
        <v>Cliente 23</v>
      </c>
      <c r="B110" s="9"/>
      <c r="C110" s="10"/>
      <c r="D110" s="10"/>
      <c r="E110" s="10"/>
      <c r="F110" s="10"/>
      <c r="G110" s="10"/>
      <c r="H110" s="11"/>
      <c r="I110" s="11"/>
      <c r="J110" s="11"/>
      <c r="K110" s="11"/>
      <c r="L110" s="11"/>
      <c r="M110" s="11"/>
      <c r="O110" s="4"/>
      <c r="P110" s="4"/>
      <c r="Q110" s="4"/>
      <c r="R110" s="4"/>
      <c r="T110" s="5"/>
      <c r="AE110" s="5"/>
    </row>
    <row r="111" spans="1:42" s="18" customFormat="1" x14ac:dyDescent="0.4">
      <c r="A111" s="17" t="s">
        <v>45</v>
      </c>
      <c r="B111" s="1">
        <f t="shared" ref="B111:K111" si="20">SUM(B88:B103)</f>
        <v>0</v>
      </c>
      <c r="C111" s="1">
        <f t="shared" si="20"/>
        <v>0</v>
      </c>
      <c r="D111" s="1">
        <f t="shared" si="20"/>
        <v>0</v>
      </c>
      <c r="E111" s="1">
        <f t="shared" si="20"/>
        <v>43589.25</v>
      </c>
      <c r="F111" s="1">
        <f t="shared" si="20"/>
        <v>83817.600000000006</v>
      </c>
      <c r="G111" s="1">
        <f t="shared" si="20"/>
        <v>0</v>
      </c>
      <c r="H111" s="1">
        <f t="shared" si="20"/>
        <v>21855</v>
      </c>
      <c r="I111" s="1">
        <f t="shared" si="20"/>
        <v>28482</v>
      </c>
      <c r="J111" s="1">
        <f t="shared" si="20"/>
        <v>0</v>
      </c>
      <c r="K111" s="1">
        <f t="shared" si="20"/>
        <v>7200</v>
      </c>
      <c r="L111" s="1">
        <f t="shared" ref="L111:U111" si="21">SUM(L88:L104)</f>
        <v>41307</v>
      </c>
      <c r="M111" s="1">
        <f t="shared" si="21"/>
        <v>120351.81</v>
      </c>
      <c r="N111" s="1">
        <f t="shared" si="21"/>
        <v>70367.7</v>
      </c>
      <c r="O111" s="1">
        <f t="shared" si="21"/>
        <v>24168</v>
      </c>
      <c r="P111" s="1">
        <f t="shared" si="21"/>
        <v>0</v>
      </c>
      <c r="Q111" s="1">
        <f t="shared" si="21"/>
        <v>31787.439999999999</v>
      </c>
      <c r="R111" s="1">
        <f t="shared" si="21"/>
        <v>31671</v>
      </c>
      <c r="S111" s="1">
        <f t="shared" si="21"/>
        <v>56951.6</v>
      </c>
      <c r="T111" s="1">
        <f t="shared" si="21"/>
        <v>42944.79</v>
      </c>
      <c r="U111" s="1">
        <f t="shared" si="21"/>
        <v>31940</v>
      </c>
      <c r="V111" s="1">
        <f t="shared" ref="V111:AA111" si="22">SUM(V88:V108)</f>
        <v>0</v>
      </c>
      <c r="W111" s="1">
        <f t="shared" si="22"/>
        <v>35756</v>
      </c>
      <c r="X111" s="1">
        <f t="shared" si="22"/>
        <v>3810</v>
      </c>
      <c r="Y111" s="1">
        <f t="shared" si="22"/>
        <v>0</v>
      </c>
      <c r="Z111" s="1">
        <f t="shared" si="22"/>
        <v>18794</v>
      </c>
      <c r="AA111" s="1">
        <f t="shared" si="22"/>
        <v>16500.04</v>
      </c>
      <c r="AB111" s="1">
        <f t="shared" ref="AB111:AP111" si="23">SUM(AB88:AB110)</f>
        <v>20622.580000000002</v>
      </c>
      <c r="AC111" s="1">
        <f t="shared" si="23"/>
        <v>25945.83</v>
      </c>
      <c r="AD111" s="1">
        <f t="shared" si="23"/>
        <v>117202.98</v>
      </c>
      <c r="AE111" s="1">
        <f t="shared" si="23"/>
        <v>47184.78</v>
      </c>
      <c r="AF111" s="1">
        <f t="shared" si="23"/>
        <v>84693.35</v>
      </c>
      <c r="AG111" s="1">
        <f t="shared" si="23"/>
        <v>74750.33</v>
      </c>
      <c r="AH111" s="1">
        <f t="shared" si="23"/>
        <v>37601.26</v>
      </c>
      <c r="AI111" s="1">
        <f t="shared" si="23"/>
        <v>15353.12</v>
      </c>
      <c r="AJ111" s="1">
        <f t="shared" si="23"/>
        <v>107491.48</v>
      </c>
      <c r="AK111" s="1">
        <f t="shared" si="23"/>
        <v>15424.5</v>
      </c>
      <c r="AL111" s="1">
        <f t="shared" si="23"/>
        <v>0</v>
      </c>
      <c r="AM111" s="1">
        <f t="shared" si="23"/>
        <v>0</v>
      </c>
      <c r="AN111" s="1">
        <f t="shared" si="23"/>
        <v>0</v>
      </c>
      <c r="AO111" s="1">
        <f t="shared" si="23"/>
        <v>0</v>
      </c>
      <c r="AP111" s="1">
        <f t="shared" si="23"/>
        <v>0</v>
      </c>
    </row>
    <row r="112" spans="1:42" x14ac:dyDescent="0.4">
      <c r="B112" s="9"/>
      <c r="C112" s="10"/>
      <c r="D112" s="13"/>
    </row>
    <row r="113" spans="1:46" x14ac:dyDescent="0.4">
      <c r="B113" s="19"/>
      <c r="C113" s="20"/>
      <c r="D113" s="20"/>
    </row>
    <row r="114" spans="1:46" s="41" customFormat="1" x14ac:dyDescent="0.4">
      <c r="A114" s="40" t="s">
        <v>60</v>
      </c>
      <c r="C114" s="42" t="s">
        <v>53</v>
      </c>
      <c r="D114" s="42" t="s">
        <v>53</v>
      </c>
      <c r="E114" s="42" t="s">
        <v>53</v>
      </c>
      <c r="F114" s="42" t="s">
        <v>53</v>
      </c>
      <c r="G114" s="42" t="s">
        <v>53</v>
      </c>
      <c r="H114" s="42" t="s">
        <v>53</v>
      </c>
      <c r="I114" s="42" t="s">
        <v>53</v>
      </c>
      <c r="J114" s="42" t="s">
        <v>53</v>
      </c>
      <c r="K114" s="42" t="s">
        <v>53</v>
      </c>
      <c r="L114" s="42" t="s">
        <v>53</v>
      </c>
      <c r="M114" s="42" t="s">
        <v>53</v>
      </c>
      <c r="N114" s="42" t="s">
        <v>53</v>
      </c>
      <c r="O114" s="42" t="s">
        <v>53</v>
      </c>
      <c r="P114" s="42" t="s">
        <v>53</v>
      </c>
      <c r="Q114" s="42" t="s">
        <v>53</v>
      </c>
      <c r="R114" s="42" t="s">
        <v>53</v>
      </c>
      <c r="S114" s="42" t="s">
        <v>53</v>
      </c>
      <c r="T114" s="42" t="s">
        <v>53</v>
      </c>
      <c r="U114" s="42" t="s">
        <v>53</v>
      </c>
      <c r="V114" s="42" t="s">
        <v>53</v>
      </c>
      <c r="W114" s="41" t="str">
        <f t="shared" ref="W114:AT114" si="24">+W86</f>
        <v>Consuntivato</v>
      </c>
      <c r="X114" s="41" t="str">
        <f t="shared" si="24"/>
        <v>Consuntivato</v>
      </c>
      <c r="Y114" s="41" t="str">
        <f t="shared" si="24"/>
        <v>Consuntivato</v>
      </c>
      <c r="Z114" s="47" t="str">
        <f t="shared" si="24"/>
        <v>Consuntivato</v>
      </c>
      <c r="AA114" s="47" t="str">
        <f t="shared" si="24"/>
        <v>Consuntivato</v>
      </c>
      <c r="AB114" s="47" t="str">
        <f t="shared" si="24"/>
        <v>Consuntivato</v>
      </c>
      <c r="AC114" s="47" t="str">
        <f t="shared" si="24"/>
        <v>Consuntivato</v>
      </c>
      <c r="AD114" s="47" t="str">
        <f t="shared" si="24"/>
        <v>Consuntivato</v>
      </c>
      <c r="AE114" s="47" t="str">
        <f t="shared" si="24"/>
        <v>Consuntivato</v>
      </c>
      <c r="AF114" s="47" t="str">
        <f t="shared" si="24"/>
        <v>Consuntivato</v>
      </c>
      <c r="AG114" s="47">
        <f t="shared" si="24"/>
        <v>0</v>
      </c>
      <c r="AH114" s="47">
        <f t="shared" si="24"/>
        <v>0</v>
      </c>
      <c r="AI114" s="47">
        <f t="shared" si="24"/>
        <v>0</v>
      </c>
      <c r="AJ114" s="41">
        <f t="shared" si="24"/>
        <v>0</v>
      </c>
      <c r="AK114" s="41">
        <f t="shared" si="24"/>
        <v>0</v>
      </c>
      <c r="AL114" s="41">
        <f t="shared" si="24"/>
        <v>0</v>
      </c>
      <c r="AM114" s="41">
        <f t="shared" si="24"/>
        <v>0</v>
      </c>
      <c r="AN114" s="41">
        <f t="shared" si="24"/>
        <v>0</v>
      </c>
      <c r="AO114" s="41">
        <f t="shared" si="24"/>
        <v>0</v>
      </c>
      <c r="AP114" s="41">
        <f t="shared" si="24"/>
        <v>0</v>
      </c>
      <c r="AQ114" s="41">
        <f t="shared" si="24"/>
        <v>0</v>
      </c>
      <c r="AR114" s="41">
        <f t="shared" si="24"/>
        <v>0</v>
      </c>
      <c r="AS114" s="41">
        <f t="shared" si="24"/>
        <v>0</v>
      </c>
      <c r="AT114" s="41">
        <f t="shared" si="24"/>
        <v>0</v>
      </c>
    </row>
    <row r="115" spans="1:46" s="15" customFormat="1" ht="15" x14ac:dyDescent="0.5">
      <c r="A115" s="16">
        <f t="shared" ref="A115:A138" si="25">+A87</f>
        <v>2019</v>
      </c>
      <c r="B115" s="2">
        <v>4</v>
      </c>
      <c r="C115" s="2">
        <v>5</v>
      </c>
      <c r="D115" s="2">
        <v>6</v>
      </c>
      <c r="E115" s="2">
        <v>7</v>
      </c>
      <c r="F115" s="2">
        <v>8</v>
      </c>
      <c r="G115" s="2">
        <v>9</v>
      </c>
      <c r="H115" s="2">
        <v>10</v>
      </c>
      <c r="I115" s="2">
        <v>11</v>
      </c>
      <c r="J115" s="2">
        <v>12</v>
      </c>
      <c r="K115" s="22">
        <v>1</v>
      </c>
      <c r="L115" s="22">
        <v>2</v>
      </c>
      <c r="M115" s="22">
        <v>3</v>
      </c>
      <c r="N115" s="22">
        <v>4</v>
      </c>
      <c r="O115" s="22">
        <v>5</v>
      </c>
      <c r="P115" s="22">
        <v>6</v>
      </c>
      <c r="Q115" s="22">
        <v>7</v>
      </c>
      <c r="R115" s="22">
        <v>8</v>
      </c>
      <c r="S115" s="22">
        <v>9</v>
      </c>
      <c r="T115" s="22">
        <v>10</v>
      </c>
      <c r="U115" s="22">
        <v>11</v>
      </c>
      <c r="V115" s="22">
        <v>12</v>
      </c>
      <c r="W115" s="22">
        <v>1</v>
      </c>
      <c r="X115" s="22">
        <v>2</v>
      </c>
      <c r="Y115" s="22">
        <v>3</v>
      </c>
      <c r="Z115" s="22">
        <v>4</v>
      </c>
      <c r="AA115" s="22">
        <v>5</v>
      </c>
      <c r="AB115" s="22">
        <v>6</v>
      </c>
      <c r="AC115" s="22">
        <v>7</v>
      </c>
      <c r="AD115" s="22">
        <v>8</v>
      </c>
      <c r="AE115" s="22">
        <v>9</v>
      </c>
      <c r="AF115" s="22">
        <v>10</v>
      </c>
      <c r="AG115" s="22">
        <v>11</v>
      </c>
      <c r="AH115" s="22">
        <v>12</v>
      </c>
      <c r="AI115" s="22">
        <v>1</v>
      </c>
      <c r="AJ115" s="22">
        <v>2</v>
      </c>
      <c r="AK115" s="22">
        <v>3</v>
      </c>
      <c r="AL115" s="22">
        <v>4</v>
      </c>
      <c r="AM115" s="22">
        <v>5</v>
      </c>
      <c r="AN115" s="22">
        <v>6</v>
      </c>
      <c r="AO115" s="22">
        <v>7</v>
      </c>
      <c r="AP115" s="22">
        <v>8</v>
      </c>
    </row>
    <row r="116" spans="1:46" s="4" customFormat="1" x14ac:dyDescent="0.4">
      <c r="A116" s="9" t="str">
        <f t="shared" si="25"/>
        <v>Cliente 1</v>
      </c>
      <c r="C116" s="12"/>
      <c r="D116" s="12"/>
      <c r="E116" s="12"/>
    </row>
    <row r="117" spans="1:46" s="4" customFormat="1" x14ac:dyDescent="0.4">
      <c r="A117" s="9" t="str">
        <f t="shared" si="25"/>
        <v>Cliente 2</v>
      </c>
      <c r="C117" s="12"/>
      <c r="D117" s="12"/>
      <c r="E117" s="12"/>
    </row>
    <row r="118" spans="1:46" s="4" customFormat="1" x14ac:dyDescent="0.4">
      <c r="A118" s="9" t="str">
        <f t="shared" si="25"/>
        <v>Cliente 3</v>
      </c>
      <c r="C118" s="12"/>
      <c r="D118" s="12"/>
      <c r="E118" s="12"/>
      <c r="I118" s="8"/>
      <c r="J118" s="8"/>
      <c r="K118" s="8"/>
      <c r="Y118" s="4">
        <v>39652.550000000003</v>
      </c>
      <c r="AB118" s="4">
        <v>20750.490000000002</v>
      </c>
    </row>
    <row r="119" spans="1:46" s="1" customFormat="1" x14ac:dyDescent="0.4">
      <c r="A119" s="9" t="str">
        <f t="shared" si="25"/>
        <v>Cliente 4</v>
      </c>
      <c r="B119" s="10"/>
      <c r="C119" s="10"/>
      <c r="D119" s="13"/>
      <c r="E119" s="13"/>
      <c r="F119" s="10"/>
      <c r="G119" s="10"/>
      <c r="H119" s="11"/>
      <c r="I119" s="24"/>
      <c r="J119" s="24"/>
      <c r="K119" s="24"/>
      <c r="L119" s="11"/>
      <c r="M119" s="11"/>
      <c r="O119" s="4"/>
      <c r="R119" s="4"/>
      <c r="AF119" s="4">
        <f>690+1680</f>
        <v>2370</v>
      </c>
      <c r="AG119" s="4"/>
      <c r="AH119" s="4"/>
      <c r="AI119" s="4"/>
      <c r="AJ119" s="4"/>
    </row>
    <row r="120" spans="1:46" s="1" customFormat="1" x14ac:dyDescent="0.4">
      <c r="A120" s="9" t="str">
        <f t="shared" si="25"/>
        <v>Cliente 5</v>
      </c>
      <c r="B120" s="10"/>
      <c r="C120" s="13"/>
      <c r="D120" s="13"/>
      <c r="E120" s="13"/>
      <c r="F120" s="10"/>
      <c r="G120" s="10"/>
      <c r="H120" s="11"/>
      <c r="I120" s="24"/>
      <c r="J120" s="24"/>
      <c r="K120" s="24"/>
      <c r="L120" s="11"/>
      <c r="M120" s="11"/>
      <c r="O120" s="4"/>
      <c r="P120" s="4"/>
      <c r="AF120" s="4"/>
      <c r="AG120" s="4"/>
      <c r="AH120" s="4"/>
      <c r="AI120" s="4"/>
      <c r="AJ120" s="4"/>
    </row>
    <row r="121" spans="1:46" s="1" customFormat="1" x14ac:dyDescent="0.4">
      <c r="A121" s="9" t="str">
        <f t="shared" si="25"/>
        <v>Cliente 6</v>
      </c>
      <c r="B121" s="10"/>
      <c r="C121" s="14"/>
      <c r="D121" s="14"/>
      <c r="E121" s="13"/>
      <c r="F121" s="10"/>
      <c r="G121" s="10"/>
      <c r="H121" s="11"/>
      <c r="I121" s="24"/>
      <c r="J121" s="24"/>
      <c r="K121" s="24"/>
      <c r="L121" s="11"/>
      <c r="M121" s="11"/>
      <c r="O121" s="4"/>
      <c r="P121" s="4"/>
      <c r="Y121" s="4">
        <v>7545.6</v>
      </c>
      <c r="AF121" s="4"/>
      <c r="AG121" s="4"/>
      <c r="AH121" s="4"/>
      <c r="AI121" s="4"/>
      <c r="AJ121" s="4"/>
    </row>
    <row r="122" spans="1:46" s="1" customFormat="1" x14ac:dyDescent="0.4">
      <c r="A122" s="9" t="str">
        <f t="shared" si="25"/>
        <v>Cliente 7</v>
      </c>
      <c r="B122" s="10"/>
      <c r="C122" s="10"/>
      <c r="D122" s="13"/>
      <c r="E122" s="13"/>
      <c r="F122" s="10"/>
      <c r="G122" s="10"/>
      <c r="H122" s="11"/>
      <c r="I122" s="26"/>
      <c r="J122" s="24"/>
      <c r="K122" s="24"/>
      <c r="L122" s="11"/>
      <c r="M122" s="11"/>
      <c r="O122" s="4"/>
      <c r="P122" s="8"/>
      <c r="R122" s="4"/>
      <c r="AF122" s="4">
        <v>2640</v>
      </c>
      <c r="AG122" s="4"/>
      <c r="AH122" s="4"/>
      <c r="AI122" s="4"/>
      <c r="AJ122" s="4"/>
    </row>
    <row r="123" spans="1:46" s="1" customFormat="1" x14ac:dyDescent="0.4">
      <c r="A123" s="9" t="str">
        <f t="shared" si="25"/>
        <v>Cliente 8</v>
      </c>
      <c r="B123" s="10"/>
      <c r="C123" s="13"/>
      <c r="D123" s="13"/>
      <c r="E123" s="13"/>
      <c r="F123" s="10"/>
      <c r="G123" s="10"/>
      <c r="H123" s="11"/>
      <c r="I123" s="24"/>
      <c r="J123" s="26"/>
      <c r="K123" s="24"/>
      <c r="L123" s="26"/>
      <c r="M123" s="11"/>
      <c r="O123" s="4"/>
      <c r="AF123" s="4"/>
      <c r="AG123" s="4"/>
      <c r="AH123" s="4"/>
      <c r="AI123" s="4"/>
      <c r="AJ123" s="4"/>
    </row>
    <row r="124" spans="1:46" s="1" customFormat="1" x14ac:dyDescent="0.4">
      <c r="A124" s="9" t="str">
        <f t="shared" si="25"/>
        <v>Cliente 9</v>
      </c>
      <c r="B124" s="10"/>
      <c r="C124" s="10"/>
      <c r="D124" s="12"/>
      <c r="E124" s="12"/>
      <c r="F124" s="13"/>
      <c r="G124" s="10"/>
      <c r="H124" s="10"/>
      <c r="I124" s="8"/>
      <c r="J124" s="24"/>
      <c r="K124" s="24"/>
      <c r="L124" s="26"/>
      <c r="M124" s="11"/>
      <c r="O124" s="4"/>
      <c r="S124" s="4">
        <v>24720</v>
      </c>
      <c r="AF124" s="4">
        <v>3948</v>
      </c>
      <c r="AG124" s="4"/>
      <c r="AH124" s="4"/>
      <c r="AI124" s="4"/>
      <c r="AJ124" s="4"/>
    </row>
    <row r="125" spans="1:46" s="1" customFormat="1" x14ac:dyDescent="0.4">
      <c r="A125" s="9" t="str">
        <f t="shared" si="25"/>
        <v>Cliente 10</v>
      </c>
      <c r="B125" s="9"/>
      <c r="C125" s="10"/>
      <c r="D125" s="12"/>
      <c r="E125" s="14"/>
      <c r="F125" s="10"/>
      <c r="G125" s="10"/>
      <c r="H125" s="10"/>
      <c r="I125" s="8"/>
      <c r="J125" s="26"/>
      <c r="K125" s="24"/>
      <c r="L125" s="26"/>
      <c r="M125" s="11"/>
      <c r="O125" s="4"/>
      <c r="P125" s="8"/>
      <c r="R125" s="4"/>
      <c r="Y125" s="8">
        <f>53898.75</f>
        <v>53898.75</v>
      </c>
      <c r="AB125" s="4">
        <f>10803.73+21607.5+10803.73</f>
        <v>43214.96</v>
      </c>
      <c r="AD125" s="4">
        <f>71252.56+8207.6</f>
        <v>79460.160000000003</v>
      </c>
      <c r="AF125" s="4">
        <f>7661.48+17974.09</f>
        <v>25635.57</v>
      </c>
      <c r="AG125" s="4"/>
      <c r="AH125" s="4"/>
      <c r="AI125" s="4"/>
      <c r="AJ125" s="4"/>
    </row>
    <row r="126" spans="1:46" s="1" customFormat="1" x14ac:dyDescent="0.4">
      <c r="A126" s="9" t="str">
        <f t="shared" si="25"/>
        <v>Cliente 11</v>
      </c>
      <c r="B126" s="9"/>
      <c r="C126" s="10"/>
      <c r="D126" s="13"/>
      <c r="E126" s="13"/>
      <c r="F126" s="10"/>
      <c r="G126" s="10"/>
      <c r="H126" s="11"/>
      <c r="I126" s="24"/>
      <c r="J126" s="24"/>
      <c r="K126" s="24"/>
      <c r="L126" s="26"/>
      <c r="M126" s="11"/>
      <c r="O126" s="4"/>
      <c r="AF126" s="4"/>
      <c r="AG126" s="4"/>
      <c r="AH126" s="4"/>
      <c r="AI126" s="4"/>
      <c r="AJ126" s="4"/>
    </row>
    <row r="127" spans="1:46" s="1" customFormat="1" x14ac:dyDescent="0.4">
      <c r="A127" s="9" t="str">
        <f t="shared" si="25"/>
        <v>Cliente 12</v>
      </c>
      <c r="B127" s="9"/>
      <c r="C127" s="10"/>
      <c r="D127" s="13"/>
      <c r="E127" s="10"/>
      <c r="F127" s="10"/>
      <c r="G127" s="10"/>
      <c r="H127" s="11"/>
      <c r="I127" s="24"/>
      <c r="J127" s="24"/>
      <c r="K127" s="24"/>
      <c r="L127" s="26"/>
      <c r="M127" s="11"/>
      <c r="O127" s="4"/>
      <c r="P127" s="4"/>
      <c r="R127" s="4"/>
      <c r="AF127" s="4">
        <v>3600</v>
      </c>
      <c r="AG127" s="4"/>
      <c r="AH127" s="4"/>
      <c r="AI127" s="4"/>
      <c r="AJ127" s="4"/>
    </row>
    <row r="128" spans="1:46" s="1" customFormat="1" x14ac:dyDescent="0.4">
      <c r="A128" s="9" t="str">
        <f t="shared" si="25"/>
        <v>Cliente 13</v>
      </c>
      <c r="B128" s="9"/>
      <c r="C128" s="10"/>
      <c r="D128" s="13"/>
      <c r="E128" s="10"/>
      <c r="F128" s="10"/>
      <c r="G128" s="10"/>
      <c r="H128" s="11"/>
      <c r="I128" s="24"/>
      <c r="J128" s="24"/>
      <c r="K128" s="24"/>
      <c r="L128" s="11"/>
      <c r="M128" s="11"/>
      <c r="O128" s="4"/>
      <c r="Y128" s="4">
        <v>1224</v>
      </c>
      <c r="AF128" s="4">
        <v>1752</v>
      </c>
      <c r="AG128" s="4"/>
      <c r="AH128" s="4"/>
      <c r="AI128" s="4"/>
      <c r="AJ128" s="4"/>
    </row>
    <row r="129" spans="1:55" s="1" customFormat="1" x14ac:dyDescent="0.4">
      <c r="A129" s="9" t="str">
        <f t="shared" si="25"/>
        <v>Cliente 14</v>
      </c>
      <c r="B129" s="9"/>
      <c r="C129" s="10"/>
      <c r="D129" s="13"/>
      <c r="E129" s="10"/>
      <c r="F129" s="10"/>
      <c r="G129" s="10"/>
      <c r="H129" s="11"/>
      <c r="I129" s="26"/>
      <c r="J129" s="24"/>
      <c r="K129" s="24"/>
      <c r="L129" s="11"/>
      <c r="M129" s="11"/>
      <c r="Q129" s="4"/>
      <c r="AF129" s="4">
        <f>3100*3</f>
        <v>9300</v>
      </c>
      <c r="AG129" s="4"/>
      <c r="AH129" s="4"/>
      <c r="AI129" s="4"/>
      <c r="AJ129" s="4"/>
    </row>
    <row r="130" spans="1:55" s="1" customFormat="1" x14ac:dyDescent="0.4">
      <c r="A130" s="9" t="str">
        <f t="shared" si="25"/>
        <v>Cliente 15</v>
      </c>
      <c r="B130" s="9"/>
      <c r="C130" s="10"/>
      <c r="D130" s="13"/>
      <c r="E130" s="10"/>
      <c r="F130" s="10"/>
      <c r="G130" s="10"/>
      <c r="H130" s="11"/>
      <c r="I130" s="24"/>
      <c r="J130" s="26"/>
      <c r="K130" s="24"/>
      <c r="L130" s="11"/>
      <c r="M130" s="11"/>
      <c r="AF130" s="4"/>
      <c r="AG130" s="4"/>
      <c r="AH130" s="4"/>
      <c r="AI130" s="4"/>
      <c r="AJ130" s="4"/>
    </row>
    <row r="131" spans="1:55" s="1" customFormat="1" x14ac:dyDescent="0.4">
      <c r="A131" s="9" t="str">
        <f t="shared" si="25"/>
        <v>Cliente 16</v>
      </c>
      <c r="B131" s="9"/>
      <c r="C131" s="10"/>
      <c r="D131" s="13"/>
      <c r="E131" s="10"/>
      <c r="F131" s="10"/>
      <c r="G131" s="10"/>
      <c r="H131" s="11"/>
      <c r="I131" s="11"/>
      <c r="J131" s="11"/>
      <c r="K131" s="11"/>
      <c r="L131" s="11"/>
      <c r="M131" s="11"/>
      <c r="O131" s="4"/>
      <c r="AF131" s="4"/>
      <c r="AG131" s="4"/>
      <c r="AH131" s="4"/>
      <c r="AI131" s="4"/>
      <c r="AJ131" s="4"/>
    </row>
    <row r="132" spans="1:55" s="1" customFormat="1" x14ac:dyDescent="0.4">
      <c r="A132" s="9" t="str">
        <f t="shared" si="25"/>
        <v>Cliente 17</v>
      </c>
      <c r="B132" s="9"/>
      <c r="C132" s="10"/>
      <c r="D132" s="13"/>
      <c r="E132" s="10"/>
      <c r="F132" s="10"/>
      <c r="G132" s="10"/>
      <c r="H132" s="11"/>
      <c r="I132" s="11"/>
      <c r="J132" s="11"/>
      <c r="K132" s="11"/>
      <c r="L132" s="11"/>
      <c r="M132" s="11"/>
      <c r="O132" s="4"/>
      <c r="AF132" s="4"/>
      <c r="AG132" s="4"/>
      <c r="AH132" s="4"/>
      <c r="AI132" s="4"/>
      <c r="AJ132" s="4"/>
    </row>
    <row r="133" spans="1:55" s="1" customFormat="1" x14ac:dyDescent="0.4">
      <c r="A133" s="9" t="str">
        <f t="shared" si="25"/>
        <v>Cliente 18</v>
      </c>
      <c r="B133" s="9"/>
      <c r="C133" s="10"/>
      <c r="D133" s="13"/>
      <c r="E133" s="10"/>
      <c r="F133" s="10"/>
      <c r="G133" s="10"/>
      <c r="H133" s="11"/>
      <c r="I133" s="11"/>
      <c r="J133" s="11"/>
      <c r="K133" s="11"/>
      <c r="L133" s="11"/>
      <c r="M133" s="11"/>
      <c r="O133" s="4"/>
      <c r="Y133" s="4">
        <v>11200.8</v>
      </c>
      <c r="AF133" s="4">
        <f>2116.78+5531.86</f>
        <v>7648.6399999999994</v>
      </c>
      <c r="AG133" s="4"/>
      <c r="AH133" s="4"/>
      <c r="AI133" s="4"/>
      <c r="AJ133" s="4"/>
    </row>
    <row r="134" spans="1:55" s="1" customFormat="1" x14ac:dyDescent="0.4">
      <c r="A134" s="9" t="str">
        <f t="shared" si="25"/>
        <v>Cliente 19</v>
      </c>
      <c r="B134" s="9"/>
      <c r="C134" s="10"/>
      <c r="D134" s="13"/>
      <c r="E134" s="10"/>
      <c r="F134" s="10"/>
      <c r="G134" s="10"/>
      <c r="H134" s="11"/>
      <c r="I134" s="11"/>
      <c r="J134" s="11"/>
      <c r="K134" s="11"/>
      <c r="L134" s="11"/>
      <c r="M134" s="11"/>
      <c r="O134" s="4"/>
      <c r="AF134" s="4"/>
      <c r="AG134" s="4"/>
      <c r="AH134" s="4"/>
      <c r="AI134" s="4"/>
      <c r="AJ134" s="4"/>
    </row>
    <row r="135" spans="1:55" s="1" customFormat="1" x14ac:dyDescent="0.4">
      <c r="A135" s="9" t="str">
        <f t="shared" si="25"/>
        <v>Cliente 20</v>
      </c>
      <c r="B135" s="9"/>
      <c r="C135" s="10"/>
      <c r="D135" s="13"/>
      <c r="E135" s="10"/>
      <c r="F135" s="10"/>
      <c r="G135" s="10"/>
      <c r="H135" s="11"/>
      <c r="I135" s="11"/>
      <c r="J135" s="11"/>
      <c r="K135" s="11"/>
      <c r="L135" s="11"/>
      <c r="M135" s="11"/>
      <c r="O135" s="4"/>
      <c r="AF135" s="4"/>
      <c r="AG135" s="4"/>
      <c r="AH135" s="4"/>
      <c r="AI135" s="4"/>
      <c r="AJ135" s="4"/>
    </row>
    <row r="136" spans="1:55" s="1" customFormat="1" x14ac:dyDescent="0.4">
      <c r="A136" s="9" t="str">
        <f t="shared" si="25"/>
        <v>Cliente 21</v>
      </c>
      <c r="B136" s="9"/>
      <c r="C136" s="10"/>
      <c r="D136" s="13"/>
      <c r="E136" s="10"/>
      <c r="F136" s="10"/>
      <c r="G136" s="10"/>
      <c r="H136" s="11"/>
      <c r="I136" s="11"/>
      <c r="J136" s="11"/>
      <c r="K136" s="11"/>
      <c r="L136" s="11"/>
      <c r="M136" s="11"/>
      <c r="O136" s="4"/>
      <c r="AF136" s="4"/>
      <c r="AG136" s="4"/>
      <c r="AH136" s="4"/>
      <c r="AI136" s="4"/>
      <c r="AJ136" s="4"/>
    </row>
    <row r="137" spans="1:55" s="1" customFormat="1" x14ac:dyDescent="0.4">
      <c r="A137" s="9" t="str">
        <f t="shared" si="25"/>
        <v>Cliente 22</v>
      </c>
      <c r="B137" s="9"/>
      <c r="C137" s="10"/>
      <c r="D137" s="13"/>
      <c r="E137" s="10"/>
      <c r="F137" s="10"/>
      <c r="G137" s="10"/>
      <c r="H137" s="11"/>
      <c r="I137" s="11"/>
      <c r="J137" s="11"/>
      <c r="K137" s="11"/>
      <c r="L137" s="11"/>
      <c r="M137" s="11"/>
      <c r="O137" s="4"/>
      <c r="AB137" s="4">
        <v>5806.08</v>
      </c>
      <c r="AF137" s="4"/>
      <c r="AG137" s="4"/>
      <c r="AH137" s="4"/>
      <c r="AI137" s="4"/>
      <c r="AJ137" s="4"/>
    </row>
    <row r="138" spans="1:55" s="1" customFormat="1" x14ac:dyDescent="0.4">
      <c r="A138" s="9" t="str">
        <f t="shared" si="25"/>
        <v>Cliente 23</v>
      </c>
      <c r="B138" s="9"/>
      <c r="C138" s="10"/>
      <c r="D138" s="13"/>
      <c r="E138" s="10"/>
      <c r="F138" s="10"/>
      <c r="G138" s="10"/>
      <c r="H138" s="11"/>
      <c r="I138" s="11"/>
      <c r="J138" s="11"/>
      <c r="K138" s="11"/>
      <c r="L138" s="11"/>
      <c r="M138" s="11"/>
      <c r="O138" s="4"/>
      <c r="AB138" s="4"/>
      <c r="AF138" s="4">
        <v>12000</v>
      </c>
      <c r="AG138" s="4"/>
      <c r="AH138" s="4"/>
      <c r="AI138" s="4"/>
      <c r="AJ138" s="4"/>
    </row>
    <row r="139" spans="1:55" s="18" customFormat="1" x14ac:dyDescent="0.4">
      <c r="A139" s="17" t="s">
        <v>45</v>
      </c>
      <c r="B139" s="1">
        <f t="shared" ref="B139:K139" si="26">SUM(B116:B131)</f>
        <v>0</v>
      </c>
      <c r="C139" s="1">
        <f t="shared" si="26"/>
        <v>0</v>
      </c>
      <c r="D139" s="1">
        <f t="shared" si="26"/>
        <v>0</v>
      </c>
      <c r="E139" s="1">
        <f t="shared" si="26"/>
        <v>0</v>
      </c>
      <c r="F139" s="1">
        <f t="shared" si="26"/>
        <v>0</v>
      </c>
      <c r="G139" s="1">
        <f t="shared" si="26"/>
        <v>0</v>
      </c>
      <c r="H139" s="1">
        <f t="shared" si="26"/>
        <v>0</v>
      </c>
      <c r="I139" s="1">
        <f t="shared" si="26"/>
        <v>0</v>
      </c>
      <c r="J139" s="1">
        <f t="shared" si="26"/>
        <v>0</v>
      </c>
      <c r="K139" s="1">
        <f t="shared" si="26"/>
        <v>0</v>
      </c>
      <c r="L139" s="1">
        <f t="shared" ref="L139:U139" si="27">SUM(L116:L132)</f>
        <v>0</v>
      </c>
      <c r="M139" s="1">
        <f t="shared" si="27"/>
        <v>0</v>
      </c>
      <c r="N139" s="1">
        <f t="shared" si="27"/>
        <v>0</v>
      </c>
      <c r="O139" s="1">
        <f t="shared" si="27"/>
        <v>0</v>
      </c>
      <c r="P139" s="1">
        <f t="shared" si="27"/>
        <v>0</v>
      </c>
      <c r="Q139" s="1">
        <f t="shared" si="27"/>
        <v>0</v>
      </c>
      <c r="R139" s="1">
        <f t="shared" si="27"/>
        <v>0</v>
      </c>
      <c r="S139" s="1">
        <f t="shared" si="27"/>
        <v>24720</v>
      </c>
      <c r="T139" s="1">
        <f t="shared" si="27"/>
        <v>0</v>
      </c>
      <c r="U139" s="1">
        <f t="shared" si="27"/>
        <v>0</v>
      </c>
      <c r="V139" s="1">
        <f t="shared" ref="V139:AA139" si="28">SUM(V116:V136)</f>
        <v>0</v>
      </c>
      <c r="W139" s="1">
        <f t="shared" si="28"/>
        <v>0</v>
      </c>
      <c r="X139" s="1">
        <f t="shared" si="28"/>
        <v>0</v>
      </c>
      <c r="Y139" s="1">
        <f t="shared" si="28"/>
        <v>113521.7</v>
      </c>
      <c r="Z139" s="1">
        <f t="shared" si="28"/>
        <v>0</v>
      </c>
      <c r="AA139" s="1">
        <f t="shared" si="28"/>
        <v>0</v>
      </c>
      <c r="AB139" s="1">
        <f t="shared" ref="AB139:AJ139" si="29">SUM(AB116:AB138)</f>
        <v>69771.53</v>
      </c>
      <c r="AC139" s="1">
        <f t="shared" si="29"/>
        <v>0</v>
      </c>
      <c r="AD139" s="1">
        <f t="shared" si="29"/>
        <v>79460.160000000003</v>
      </c>
      <c r="AE139" s="1">
        <f t="shared" si="29"/>
        <v>0</v>
      </c>
      <c r="AF139" s="1">
        <f t="shared" si="29"/>
        <v>68894.209999999992</v>
      </c>
      <c r="AG139" s="1">
        <f t="shared" si="29"/>
        <v>0</v>
      </c>
      <c r="AH139" s="1">
        <f t="shared" si="29"/>
        <v>0</v>
      </c>
      <c r="AI139" s="1">
        <f t="shared" si="29"/>
        <v>0</v>
      </c>
      <c r="AJ139" s="1">
        <f t="shared" si="29"/>
        <v>0</v>
      </c>
      <c r="AK139" s="1">
        <f>SUM(AK116:AK138)</f>
        <v>0</v>
      </c>
      <c r="AL139" s="1">
        <f>SUM(AL116:AL138)</f>
        <v>0</v>
      </c>
      <c r="AM139" s="1">
        <f t="shared" ref="AM139:AN139" si="30">SUM(AM116:AM138)</f>
        <v>0</v>
      </c>
      <c r="AN139" s="1">
        <f t="shared" si="30"/>
        <v>0</v>
      </c>
      <c r="AO139" s="1">
        <f t="shared" ref="AO139" si="31">SUM(AO116:AO138)</f>
        <v>0</v>
      </c>
      <c r="AP139" s="1">
        <f t="shared" ref="AP139" si="32">SUM(AP116:AP138)</f>
        <v>0</v>
      </c>
    </row>
    <row r="140" spans="1:55" s="1" customFormat="1" x14ac:dyDescent="0.4">
      <c r="A140" s="9"/>
      <c r="B140" s="9"/>
      <c r="C140" s="10"/>
      <c r="D140" s="13"/>
      <c r="E140" s="10"/>
      <c r="F140" s="10"/>
      <c r="G140" s="10"/>
      <c r="H140" s="11"/>
      <c r="I140" s="11"/>
      <c r="J140" s="11"/>
      <c r="K140" s="11"/>
      <c r="L140" s="11"/>
      <c r="M140" s="11"/>
    </row>
    <row r="142" spans="1:55" s="41" customFormat="1" x14ac:dyDescent="0.4">
      <c r="A142" s="40" t="s">
        <v>61</v>
      </c>
      <c r="C142" s="42" t="s">
        <v>53</v>
      </c>
      <c r="D142" s="42" t="s">
        <v>53</v>
      </c>
      <c r="E142" s="42" t="s">
        <v>53</v>
      </c>
      <c r="F142" s="42" t="s">
        <v>53</v>
      </c>
      <c r="G142" s="42" t="s">
        <v>53</v>
      </c>
      <c r="H142" s="42" t="s">
        <v>53</v>
      </c>
      <c r="I142" s="42" t="s">
        <v>53</v>
      </c>
      <c r="J142" s="42" t="s">
        <v>53</v>
      </c>
      <c r="K142" s="42" t="s">
        <v>53</v>
      </c>
      <c r="L142" s="42" t="s">
        <v>53</v>
      </c>
      <c r="M142" s="42" t="s">
        <v>53</v>
      </c>
      <c r="N142" s="42" t="s">
        <v>53</v>
      </c>
      <c r="O142" s="42" t="s">
        <v>53</v>
      </c>
      <c r="P142" s="42" t="s">
        <v>53</v>
      </c>
      <c r="Q142" s="42" t="s">
        <v>53</v>
      </c>
      <c r="R142" s="42" t="s">
        <v>53</v>
      </c>
      <c r="S142" s="42" t="s">
        <v>53</v>
      </c>
      <c r="T142" s="42" t="s">
        <v>53</v>
      </c>
      <c r="U142" s="42" t="s">
        <v>53</v>
      </c>
      <c r="V142" s="42" t="s">
        <v>53</v>
      </c>
      <c r="W142" s="41" t="str">
        <f t="shared" ref="W142:BC142" si="33">+W114</f>
        <v>Consuntivato</v>
      </c>
      <c r="X142" s="41" t="str">
        <f t="shared" si="33"/>
        <v>Consuntivato</v>
      </c>
      <c r="Y142" s="41" t="str">
        <f t="shared" si="33"/>
        <v>Consuntivato</v>
      </c>
      <c r="Z142" s="47" t="str">
        <f t="shared" si="33"/>
        <v>Consuntivato</v>
      </c>
      <c r="AA142" s="47" t="str">
        <f t="shared" si="33"/>
        <v>Consuntivato</v>
      </c>
      <c r="AB142" s="47" t="str">
        <f t="shared" si="33"/>
        <v>Consuntivato</v>
      </c>
      <c r="AC142" s="47" t="str">
        <f t="shared" si="33"/>
        <v>Consuntivato</v>
      </c>
      <c r="AD142" s="47" t="str">
        <f t="shared" si="33"/>
        <v>Consuntivato</v>
      </c>
      <c r="AE142" s="47" t="str">
        <f t="shared" si="33"/>
        <v>Consuntivato</v>
      </c>
      <c r="AF142" s="47" t="str">
        <f t="shared" si="33"/>
        <v>Consuntivato</v>
      </c>
      <c r="AG142" s="47">
        <f t="shared" si="33"/>
        <v>0</v>
      </c>
      <c r="AH142" s="47">
        <f t="shared" si="33"/>
        <v>0</v>
      </c>
      <c r="AI142" s="47">
        <f t="shared" si="33"/>
        <v>0</v>
      </c>
      <c r="AJ142" s="47">
        <f t="shared" si="33"/>
        <v>0</v>
      </c>
      <c r="AK142" s="41">
        <f t="shared" si="33"/>
        <v>0</v>
      </c>
      <c r="AL142" s="41">
        <f t="shared" si="33"/>
        <v>0</v>
      </c>
      <c r="AM142" s="41">
        <f t="shared" si="33"/>
        <v>0</v>
      </c>
      <c r="AN142" s="41">
        <f t="shared" si="33"/>
        <v>0</v>
      </c>
      <c r="AO142" s="41">
        <f t="shared" si="33"/>
        <v>0</v>
      </c>
      <c r="AP142" s="41">
        <f t="shared" si="33"/>
        <v>0</v>
      </c>
      <c r="AQ142" s="41">
        <f t="shared" si="33"/>
        <v>0</v>
      </c>
      <c r="AR142" s="41">
        <f t="shared" si="33"/>
        <v>0</v>
      </c>
      <c r="AS142" s="41">
        <f t="shared" si="33"/>
        <v>0</v>
      </c>
      <c r="AT142" s="41">
        <f t="shared" si="33"/>
        <v>0</v>
      </c>
      <c r="AU142" s="41">
        <f t="shared" si="33"/>
        <v>0</v>
      </c>
      <c r="AV142" s="41">
        <f t="shared" si="33"/>
        <v>0</v>
      </c>
      <c r="AW142" s="41">
        <f t="shared" si="33"/>
        <v>0</v>
      </c>
      <c r="AX142" s="41">
        <f t="shared" si="33"/>
        <v>0</v>
      </c>
      <c r="AY142" s="41">
        <f t="shared" si="33"/>
        <v>0</v>
      </c>
      <c r="AZ142" s="41">
        <f t="shared" si="33"/>
        <v>0</v>
      </c>
      <c r="BA142" s="41">
        <f t="shared" si="33"/>
        <v>0</v>
      </c>
      <c r="BB142" s="41">
        <f t="shared" si="33"/>
        <v>0</v>
      </c>
      <c r="BC142" s="41">
        <f t="shared" si="33"/>
        <v>0</v>
      </c>
    </row>
    <row r="143" spans="1:55" s="15" customFormat="1" ht="15" x14ac:dyDescent="0.5">
      <c r="A143" s="16">
        <f t="shared" ref="A143:A166" si="34">+A115</f>
        <v>2019</v>
      </c>
      <c r="B143" s="2">
        <v>4</v>
      </c>
      <c r="C143" s="2">
        <v>5</v>
      </c>
      <c r="D143" s="2">
        <v>6</v>
      </c>
      <c r="E143" s="2">
        <v>7</v>
      </c>
      <c r="F143" s="2">
        <v>8</v>
      </c>
      <c r="G143" s="2">
        <v>9</v>
      </c>
      <c r="H143" s="2">
        <v>10</v>
      </c>
      <c r="I143" s="2">
        <v>11</v>
      </c>
      <c r="J143" s="2">
        <v>12</v>
      </c>
      <c r="K143" s="22">
        <v>1</v>
      </c>
      <c r="L143" s="22">
        <v>2</v>
      </c>
      <c r="M143" s="22">
        <v>3</v>
      </c>
      <c r="N143" s="22">
        <v>4</v>
      </c>
      <c r="O143" s="22">
        <v>5</v>
      </c>
      <c r="P143" s="22">
        <v>6</v>
      </c>
      <c r="Q143" s="22">
        <v>7</v>
      </c>
      <c r="R143" s="22">
        <v>8</v>
      </c>
      <c r="S143" s="22">
        <v>9</v>
      </c>
      <c r="T143" s="22">
        <v>10</v>
      </c>
      <c r="U143" s="22">
        <v>11</v>
      </c>
      <c r="V143" s="22">
        <v>12</v>
      </c>
      <c r="W143" s="22">
        <v>1</v>
      </c>
      <c r="X143" s="22">
        <v>2</v>
      </c>
      <c r="Y143" s="22">
        <v>3</v>
      </c>
      <c r="Z143" s="22">
        <v>4</v>
      </c>
      <c r="AA143" s="22">
        <v>5</v>
      </c>
      <c r="AB143" s="22">
        <v>6</v>
      </c>
      <c r="AC143" s="22">
        <v>7</v>
      </c>
      <c r="AD143" s="22">
        <v>8</v>
      </c>
      <c r="AE143" s="22">
        <v>9</v>
      </c>
      <c r="AF143" s="22">
        <v>10</v>
      </c>
      <c r="AG143" s="22">
        <v>11</v>
      </c>
      <c r="AH143" s="22">
        <v>12</v>
      </c>
      <c r="AI143" s="22">
        <v>1</v>
      </c>
      <c r="AJ143" s="22">
        <v>2</v>
      </c>
      <c r="AK143" s="22">
        <v>3</v>
      </c>
      <c r="AL143" s="22">
        <v>4</v>
      </c>
      <c r="AM143" s="22">
        <v>5</v>
      </c>
      <c r="AN143" s="22">
        <v>6</v>
      </c>
      <c r="AO143" s="22">
        <v>7</v>
      </c>
      <c r="AP143" s="22">
        <v>8</v>
      </c>
    </row>
    <row r="144" spans="1:55" s="4" customFormat="1" x14ac:dyDescent="0.4">
      <c r="A144" s="9" t="str">
        <f t="shared" si="34"/>
        <v>Cliente 1</v>
      </c>
    </row>
    <row r="145" spans="1:37" s="4" customFormat="1" x14ac:dyDescent="0.4">
      <c r="A145" s="9" t="str">
        <f t="shared" si="34"/>
        <v>Cliente 2</v>
      </c>
    </row>
    <row r="146" spans="1:37" s="4" customFormat="1" x14ac:dyDescent="0.4">
      <c r="A146" s="9" t="str">
        <f t="shared" si="34"/>
        <v>Cliente 3</v>
      </c>
      <c r="K146" s="8"/>
      <c r="L146" s="8"/>
      <c r="M146" s="8"/>
      <c r="N146" s="8"/>
      <c r="O146" s="8"/>
      <c r="AC146" s="4">
        <f>+Y118</f>
        <v>39652.550000000003</v>
      </c>
      <c r="AF146" s="4">
        <v>20750.490000000002</v>
      </c>
    </row>
    <row r="147" spans="1:37" s="1" customFormat="1" x14ac:dyDescent="0.4">
      <c r="A147" s="9" t="str">
        <f t="shared" si="34"/>
        <v>Cliente 4</v>
      </c>
      <c r="B147" s="10"/>
      <c r="C147" s="10"/>
      <c r="D147" s="10"/>
      <c r="E147" s="10"/>
      <c r="F147" s="10"/>
      <c r="G147" s="10"/>
      <c r="H147" s="25"/>
      <c r="I147" s="25"/>
      <c r="J147" s="25"/>
      <c r="K147" s="26"/>
      <c r="L147" s="26"/>
      <c r="M147" s="24"/>
      <c r="N147" s="5"/>
      <c r="O147" s="8"/>
      <c r="P147" s="4"/>
      <c r="Q147" s="4"/>
      <c r="R147" s="4"/>
      <c r="T147" s="4"/>
      <c r="AF147" s="4"/>
      <c r="AG147" s="4"/>
      <c r="AH147" s="4">
        <v>690</v>
      </c>
      <c r="AI147" s="4">
        <v>1680</v>
      </c>
      <c r="AJ147" s="4"/>
      <c r="AK147" s="4"/>
    </row>
    <row r="148" spans="1:37" s="1" customFormat="1" x14ac:dyDescent="0.4">
      <c r="A148" s="9" t="str">
        <f t="shared" si="34"/>
        <v>Cliente 5</v>
      </c>
      <c r="B148" s="10"/>
      <c r="C148" s="10"/>
      <c r="D148" s="10"/>
      <c r="E148" s="10"/>
      <c r="F148" s="10"/>
      <c r="G148" s="10"/>
      <c r="H148" s="25"/>
      <c r="I148" s="25"/>
      <c r="J148" s="25"/>
      <c r="K148" s="26"/>
      <c r="L148" s="26"/>
      <c r="M148" s="24"/>
      <c r="N148" s="5"/>
      <c r="O148" s="8"/>
      <c r="P148" s="4"/>
      <c r="Q148" s="4"/>
      <c r="R148" s="4"/>
      <c r="S148" s="4"/>
      <c r="AF148" s="4"/>
      <c r="AG148" s="4"/>
      <c r="AH148" s="4"/>
      <c r="AI148" s="4"/>
      <c r="AJ148" s="4"/>
      <c r="AK148" s="4"/>
    </row>
    <row r="149" spans="1:37" s="1" customFormat="1" x14ac:dyDescent="0.4">
      <c r="A149" s="9" t="str">
        <f t="shared" si="34"/>
        <v>Cliente 6</v>
      </c>
      <c r="B149" s="10"/>
      <c r="E149" s="10"/>
      <c r="F149" s="10"/>
      <c r="G149" s="10"/>
      <c r="H149" s="25"/>
      <c r="I149" s="25"/>
      <c r="J149" s="25"/>
      <c r="K149" s="26"/>
      <c r="L149" s="26"/>
      <c r="M149" s="24"/>
      <c r="N149" s="5"/>
      <c r="O149" s="8"/>
      <c r="P149" s="4"/>
      <c r="Q149" s="4"/>
      <c r="R149" s="4"/>
      <c r="S149" s="4"/>
      <c r="AB149" s="4">
        <f>+Y121</f>
        <v>7545.6</v>
      </c>
      <c r="AF149" s="4"/>
      <c r="AG149" s="4"/>
      <c r="AH149" s="4"/>
      <c r="AI149" s="4"/>
      <c r="AJ149" s="4"/>
      <c r="AK149" s="4"/>
    </row>
    <row r="150" spans="1:37" s="1" customFormat="1" x14ac:dyDescent="0.4">
      <c r="A150" s="9" t="str">
        <f t="shared" si="34"/>
        <v>Cliente 7</v>
      </c>
      <c r="B150" s="10"/>
      <c r="C150" s="4"/>
      <c r="D150" s="10"/>
      <c r="E150" s="10"/>
      <c r="F150" s="10"/>
      <c r="G150" s="10"/>
      <c r="H150" s="25"/>
      <c r="I150" s="25"/>
      <c r="J150" s="25"/>
      <c r="K150" s="26"/>
      <c r="L150" s="26"/>
      <c r="M150" s="26"/>
      <c r="N150" s="5"/>
      <c r="O150" s="8"/>
      <c r="P150" s="4"/>
      <c r="Q150" s="4"/>
      <c r="R150" s="4"/>
      <c r="T150" s="4"/>
      <c r="U150" s="4"/>
      <c r="AF150" s="4"/>
      <c r="AG150" s="4"/>
      <c r="AH150" s="4"/>
      <c r="AI150" s="4">
        <v>2640</v>
      </c>
      <c r="AJ150" s="4"/>
      <c r="AK150" s="4"/>
    </row>
    <row r="151" spans="1:37" s="1" customFormat="1" x14ac:dyDescent="0.4">
      <c r="A151" s="9" t="str">
        <f t="shared" si="34"/>
        <v>Cliente 8</v>
      </c>
      <c r="B151" s="10"/>
      <c r="C151" s="10"/>
      <c r="D151" s="10"/>
      <c r="E151" s="10"/>
      <c r="F151" s="10"/>
      <c r="G151" s="10"/>
      <c r="H151" s="25"/>
      <c r="I151" s="25"/>
      <c r="J151" s="25"/>
      <c r="K151" s="26"/>
      <c r="L151" s="5"/>
      <c r="M151" s="26"/>
      <c r="N151" s="8"/>
      <c r="O151" s="26"/>
      <c r="P151" s="4"/>
      <c r="Q151" s="4"/>
      <c r="R151" s="4"/>
      <c r="AF151" s="4"/>
      <c r="AG151" s="4"/>
      <c r="AH151" s="4"/>
      <c r="AI151" s="4"/>
      <c r="AJ151" s="4"/>
      <c r="AK151" s="4"/>
    </row>
    <row r="152" spans="1:37" s="1" customFormat="1" x14ac:dyDescent="0.4">
      <c r="A152" s="9" t="str">
        <f t="shared" si="34"/>
        <v>Cliente 9</v>
      </c>
      <c r="B152" s="10"/>
      <c r="C152" s="10"/>
      <c r="D152" s="4"/>
      <c r="E152" s="4"/>
      <c r="F152" s="10"/>
      <c r="G152" s="10"/>
      <c r="H152" s="10"/>
      <c r="I152" s="10"/>
      <c r="J152" s="25"/>
      <c r="K152" s="26"/>
      <c r="L152" s="26"/>
      <c r="M152" s="24"/>
      <c r="N152" s="8"/>
      <c r="O152" s="8"/>
      <c r="P152" s="4"/>
      <c r="Q152" s="4"/>
      <c r="R152" s="4"/>
      <c r="V152" s="4">
        <f>+S124</f>
        <v>24720</v>
      </c>
      <c r="AF152" s="4"/>
      <c r="AG152" s="4"/>
      <c r="AH152" s="4">
        <v>3948</v>
      </c>
      <c r="AI152" s="4"/>
      <c r="AJ152" s="4"/>
      <c r="AK152" s="4"/>
    </row>
    <row r="153" spans="1:37" s="1" customFormat="1" x14ac:dyDescent="0.4">
      <c r="A153" s="9" t="str">
        <f t="shared" si="34"/>
        <v>Cliente 10</v>
      </c>
      <c r="B153" s="9"/>
      <c r="C153" s="10"/>
      <c r="D153" s="4"/>
      <c r="E153" s="4"/>
      <c r="F153" s="10"/>
      <c r="G153" s="10"/>
      <c r="H153" s="10"/>
      <c r="I153" s="25"/>
      <c r="J153" s="25"/>
      <c r="K153" s="26"/>
      <c r="L153" s="26"/>
      <c r="M153" s="26"/>
      <c r="N153" s="8"/>
      <c r="O153" s="8"/>
      <c r="P153" s="4"/>
      <c r="Q153" s="4"/>
      <c r="R153" s="4"/>
      <c r="T153" s="8"/>
      <c r="AB153" s="4">
        <f>+$Y$125/3</f>
        <v>17966.25</v>
      </c>
      <c r="AC153" s="4">
        <f>+$Y$125/3</f>
        <v>17966.25</v>
      </c>
      <c r="AD153" s="4">
        <v>0</v>
      </c>
      <c r="AE153" s="4">
        <f>+$AB$125/4+8983.12</f>
        <v>19786.86</v>
      </c>
      <c r="AF153" s="4">
        <f>+$AB$125/2+8983.13</f>
        <v>30590.61</v>
      </c>
      <c r="AG153" s="4">
        <f>+$AB$125/4</f>
        <v>10803.74</v>
      </c>
      <c r="AH153" s="4">
        <f>+AD125</f>
        <v>79460.160000000003</v>
      </c>
      <c r="AI153" s="4"/>
      <c r="AJ153" s="4">
        <v>7661.48</v>
      </c>
      <c r="AK153" s="4">
        <v>17974.09</v>
      </c>
    </row>
    <row r="154" spans="1:37" s="1" customFormat="1" x14ac:dyDescent="0.4">
      <c r="A154" s="9" t="str">
        <f t="shared" si="34"/>
        <v>Cliente 11</v>
      </c>
      <c r="B154" s="9"/>
      <c r="C154" s="10"/>
      <c r="D154" s="10"/>
      <c r="E154" s="10"/>
      <c r="F154" s="10"/>
      <c r="G154" s="10"/>
      <c r="H154" s="25"/>
      <c r="I154" s="25"/>
      <c r="J154" s="25"/>
      <c r="K154" s="26"/>
      <c r="L154" s="26"/>
      <c r="M154" s="24"/>
      <c r="N154" s="8"/>
      <c r="O154" s="8"/>
      <c r="P154" s="4"/>
      <c r="Q154" s="4"/>
      <c r="R154" s="4"/>
      <c r="AF154" s="4"/>
      <c r="AG154" s="4"/>
      <c r="AH154" s="4"/>
      <c r="AI154" s="4"/>
      <c r="AJ154" s="4"/>
      <c r="AK154" s="4"/>
    </row>
    <row r="155" spans="1:37" s="1" customFormat="1" x14ac:dyDescent="0.4">
      <c r="A155" s="9" t="str">
        <f t="shared" si="34"/>
        <v>Cliente 12</v>
      </c>
      <c r="B155" s="9"/>
      <c r="C155" s="10"/>
      <c r="D155" s="10"/>
      <c r="E155" s="10"/>
      <c r="F155" s="10"/>
      <c r="G155" s="10"/>
      <c r="H155" s="25"/>
      <c r="I155" s="25"/>
      <c r="J155" s="25"/>
      <c r="K155" s="26"/>
      <c r="L155" s="26"/>
      <c r="M155" s="24"/>
      <c r="N155" s="26"/>
      <c r="O155" s="8"/>
      <c r="P155" s="4"/>
      <c r="Q155" s="4"/>
      <c r="R155" s="4"/>
      <c r="S155" s="4"/>
      <c r="AF155" s="4"/>
      <c r="AG155" s="4"/>
      <c r="AH155" s="4">
        <v>3600</v>
      </c>
      <c r="AI155" s="4"/>
      <c r="AJ155" s="4"/>
      <c r="AK155" s="4"/>
    </row>
    <row r="156" spans="1:37" s="1" customFormat="1" x14ac:dyDescent="0.4">
      <c r="A156" s="9" t="str">
        <f t="shared" si="34"/>
        <v>Cliente 13</v>
      </c>
      <c r="B156" s="9"/>
      <c r="C156" s="10"/>
      <c r="D156" s="10"/>
      <c r="E156" s="10"/>
      <c r="F156" s="10"/>
      <c r="G156" s="10"/>
      <c r="H156" s="25"/>
      <c r="I156" s="25"/>
      <c r="J156" s="25"/>
      <c r="K156" s="26"/>
      <c r="L156" s="26"/>
      <c r="M156" s="24"/>
      <c r="N156" s="8"/>
      <c r="O156" s="8"/>
      <c r="P156" s="4"/>
      <c r="Q156" s="4"/>
      <c r="R156" s="4"/>
      <c r="AA156" s="4">
        <f>+Y128</f>
        <v>1224</v>
      </c>
      <c r="AF156" s="4"/>
      <c r="AG156" s="4"/>
      <c r="AH156" s="4">
        <v>1752</v>
      </c>
      <c r="AI156" s="4"/>
      <c r="AJ156" s="4"/>
      <c r="AK156" s="4"/>
    </row>
    <row r="157" spans="1:37" s="1" customFormat="1" x14ac:dyDescent="0.4">
      <c r="A157" s="9" t="str">
        <f t="shared" si="34"/>
        <v>Cliente 14</v>
      </c>
      <c r="B157" s="9"/>
      <c r="C157" s="10"/>
      <c r="D157" s="10"/>
      <c r="E157" s="10"/>
      <c r="F157" s="10"/>
      <c r="G157" s="10"/>
      <c r="H157" s="25"/>
      <c r="I157" s="25"/>
      <c r="J157" s="25"/>
      <c r="K157" s="26"/>
      <c r="L157" s="26"/>
      <c r="M157" s="26"/>
      <c r="N157" s="26"/>
      <c r="O157" s="8"/>
      <c r="P157" s="4"/>
      <c r="Q157" s="4"/>
      <c r="R157" s="4"/>
      <c r="T157" s="4"/>
      <c r="AF157" s="4"/>
      <c r="AG157" s="4"/>
      <c r="AH157" s="4">
        <v>3100</v>
      </c>
      <c r="AI157" s="4">
        <v>3100</v>
      </c>
      <c r="AJ157" s="4">
        <v>3100</v>
      </c>
      <c r="AK157" s="4"/>
    </row>
    <row r="158" spans="1:37" s="1" customFormat="1" x14ac:dyDescent="0.4">
      <c r="A158" s="9" t="str">
        <f t="shared" si="34"/>
        <v>Cliente 15</v>
      </c>
      <c r="B158" s="9"/>
      <c r="C158" s="10"/>
      <c r="D158" s="10"/>
      <c r="E158" s="10"/>
      <c r="F158" s="10"/>
      <c r="G158" s="10"/>
      <c r="H158" s="25"/>
      <c r="I158" s="25"/>
      <c r="J158" s="25"/>
      <c r="K158" s="26"/>
      <c r="L158" s="5"/>
      <c r="M158" s="26"/>
      <c r="N158" s="26"/>
      <c r="O158" s="8"/>
      <c r="P158" s="4"/>
      <c r="Q158" s="4"/>
      <c r="R158" s="4"/>
      <c r="AF158" s="4"/>
      <c r="AG158" s="4"/>
      <c r="AH158" s="4"/>
      <c r="AI158" s="4"/>
      <c r="AJ158" s="4"/>
      <c r="AK158" s="4"/>
    </row>
    <row r="159" spans="1:37" s="1" customFormat="1" x14ac:dyDescent="0.4">
      <c r="A159" s="9" t="str">
        <f t="shared" si="34"/>
        <v>Cliente 16</v>
      </c>
      <c r="B159" s="9"/>
      <c r="C159" s="10"/>
      <c r="D159" s="10"/>
      <c r="E159" s="10"/>
      <c r="F159" s="10"/>
      <c r="G159" s="10"/>
      <c r="H159" s="11"/>
      <c r="I159" s="11"/>
      <c r="J159" s="11"/>
      <c r="K159" s="11"/>
      <c r="L159" s="11"/>
      <c r="M159" s="11"/>
      <c r="O159" s="4"/>
      <c r="P159" s="4"/>
      <c r="Q159" s="4"/>
      <c r="R159" s="4"/>
      <c r="AF159" s="4"/>
      <c r="AG159" s="4"/>
      <c r="AH159" s="4"/>
      <c r="AI159" s="4"/>
      <c r="AJ159" s="4"/>
      <c r="AK159" s="4"/>
    </row>
    <row r="160" spans="1:37" s="1" customFormat="1" x14ac:dyDescent="0.4">
      <c r="A160" s="9" t="str">
        <f t="shared" si="34"/>
        <v>Cliente 17</v>
      </c>
      <c r="B160" s="9"/>
      <c r="C160" s="10"/>
      <c r="D160" s="10"/>
      <c r="E160" s="10"/>
      <c r="F160" s="10"/>
      <c r="G160" s="10"/>
      <c r="H160" s="11"/>
      <c r="I160" s="11"/>
      <c r="J160" s="11"/>
      <c r="K160" s="11"/>
      <c r="L160" s="11"/>
      <c r="M160" s="11"/>
      <c r="O160" s="4"/>
      <c r="P160" s="4"/>
      <c r="Q160" s="4"/>
      <c r="R160" s="4"/>
      <c r="AF160" s="4"/>
      <c r="AG160" s="4"/>
      <c r="AH160" s="4"/>
      <c r="AI160" s="4"/>
      <c r="AJ160" s="4"/>
      <c r="AK160" s="4"/>
    </row>
    <row r="161" spans="1:46" s="1" customFormat="1" x14ac:dyDescent="0.4">
      <c r="A161" s="9" t="str">
        <f t="shared" si="34"/>
        <v>Cliente 18</v>
      </c>
      <c r="B161" s="9"/>
      <c r="C161" s="10"/>
      <c r="D161" s="10"/>
      <c r="E161" s="10"/>
      <c r="F161" s="10"/>
      <c r="G161" s="10"/>
      <c r="H161" s="11"/>
      <c r="I161" s="11"/>
      <c r="J161" s="11"/>
      <c r="K161" s="11"/>
      <c r="L161" s="11"/>
      <c r="M161" s="11"/>
      <c r="O161" s="4"/>
      <c r="P161" s="4"/>
      <c r="Q161" s="4"/>
      <c r="R161" s="4"/>
      <c r="AA161" s="4">
        <f>+$Y$133/2</f>
        <v>5600.4</v>
      </c>
      <c r="AB161" s="4">
        <f>+$Y$133/2</f>
        <v>5600.4</v>
      </c>
      <c r="AF161" s="4"/>
      <c r="AG161" s="4"/>
      <c r="AH161" s="4">
        <v>2116.7800000000002</v>
      </c>
      <c r="AI161" s="4">
        <v>5531.86</v>
      </c>
      <c r="AJ161" s="4"/>
      <c r="AK161" s="4"/>
    </row>
    <row r="162" spans="1:46" s="1" customFormat="1" x14ac:dyDescent="0.4">
      <c r="A162" s="9" t="str">
        <f t="shared" si="34"/>
        <v>Cliente 19</v>
      </c>
      <c r="B162" s="9"/>
      <c r="C162" s="10"/>
      <c r="D162" s="10"/>
      <c r="E162" s="10"/>
      <c r="F162" s="10"/>
      <c r="G162" s="10"/>
      <c r="H162" s="11"/>
      <c r="I162" s="11"/>
      <c r="J162" s="11"/>
      <c r="K162" s="11"/>
      <c r="L162" s="11"/>
      <c r="M162" s="11"/>
      <c r="O162" s="4"/>
      <c r="P162" s="4"/>
      <c r="Q162" s="4"/>
      <c r="R162" s="4"/>
      <c r="AF162" s="4"/>
      <c r="AG162" s="4"/>
      <c r="AH162" s="4"/>
      <c r="AI162" s="4"/>
      <c r="AJ162" s="4"/>
      <c r="AK162" s="4"/>
    </row>
    <row r="163" spans="1:46" s="1" customFormat="1" x14ac:dyDescent="0.4">
      <c r="A163" s="9" t="str">
        <f t="shared" si="34"/>
        <v>Cliente 20</v>
      </c>
      <c r="B163" s="9"/>
      <c r="C163" s="10"/>
      <c r="D163" s="10"/>
      <c r="E163" s="10"/>
      <c r="F163" s="10"/>
      <c r="G163" s="10"/>
      <c r="H163" s="11"/>
      <c r="I163" s="11"/>
      <c r="J163" s="11"/>
      <c r="K163" s="11"/>
      <c r="L163" s="11"/>
      <c r="M163" s="11"/>
      <c r="O163" s="4"/>
      <c r="P163" s="4"/>
      <c r="Q163" s="4"/>
      <c r="R163" s="4"/>
      <c r="AF163" s="4"/>
      <c r="AG163" s="4"/>
      <c r="AH163" s="4"/>
      <c r="AI163" s="4"/>
      <c r="AJ163" s="4"/>
      <c r="AK163" s="4"/>
    </row>
    <row r="164" spans="1:46" s="1" customFormat="1" x14ac:dyDescent="0.4">
      <c r="A164" s="9" t="str">
        <f t="shared" si="34"/>
        <v>Cliente 21</v>
      </c>
      <c r="B164" s="9"/>
      <c r="C164" s="10"/>
      <c r="D164" s="10"/>
      <c r="E164" s="10"/>
      <c r="F164" s="10"/>
      <c r="G164" s="10"/>
      <c r="H164" s="11"/>
      <c r="I164" s="11"/>
      <c r="J164" s="11"/>
      <c r="K164" s="11"/>
      <c r="L164" s="11"/>
      <c r="M164" s="11"/>
      <c r="O164" s="4"/>
      <c r="P164" s="4"/>
      <c r="Q164" s="4"/>
      <c r="R164" s="4"/>
      <c r="AF164" s="4"/>
      <c r="AG164" s="4"/>
      <c r="AH164" s="4"/>
      <c r="AI164" s="4"/>
      <c r="AJ164" s="4"/>
      <c r="AK164" s="4"/>
    </row>
    <row r="165" spans="1:46" s="1" customFormat="1" x14ac:dyDescent="0.4">
      <c r="A165" s="9" t="str">
        <f t="shared" si="34"/>
        <v>Cliente 22</v>
      </c>
      <c r="B165" s="9"/>
      <c r="C165" s="10"/>
      <c r="D165" s="10"/>
      <c r="E165" s="10"/>
      <c r="F165" s="10"/>
      <c r="G165" s="10"/>
      <c r="H165" s="11"/>
      <c r="I165" s="11"/>
      <c r="J165" s="11"/>
      <c r="K165" s="11"/>
      <c r="L165" s="11"/>
      <c r="M165" s="11"/>
      <c r="O165" s="4"/>
      <c r="P165" s="4"/>
      <c r="Q165" s="4"/>
      <c r="R165" s="4"/>
      <c r="AE165" s="4">
        <f>+AB137</f>
        <v>5806.08</v>
      </c>
      <c r="AF165" s="4"/>
      <c r="AG165" s="4"/>
      <c r="AH165" s="4"/>
      <c r="AI165" s="4"/>
      <c r="AJ165" s="4"/>
      <c r="AK165" s="4"/>
    </row>
    <row r="166" spans="1:46" s="1" customFormat="1" x14ac:dyDescent="0.4">
      <c r="A166" s="9" t="str">
        <f t="shared" si="34"/>
        <v>Cliente 23</v>
      </c>
      <c r="B166" s="9"/>
      <c r="C166" s="10"/>
      <c r="D166" s="10"/>
      <c r="E166" s="10"/>
      <c r="F166" s="10"/>
      <c r="G166" s="10"/>
      <c r="H166" s="11"/>
      <c r="I166" s="11"/>
      <c r="J166" s="11"/>
      <c r="K166" s="11"/>
      <c r="L166" s="11"/>
      <c r="M166" s="11"/>
      <c r="O166" s="4"/>
      <c r="P166" s="4"/>
      <c r="Q166" s="4"/>
      <c r="R166" s="4"/>
      <c r="AE166" s="4"/>
      <c r="AF166" s="4"/>
      <c r="AG166" s="4"/>
      <c r="AH166" s="4">
        <v>12000</v>
      </c>
      <c r="AI166" s="4"/>
      <c r="AJ166" s="4"/>
      <c r="AK166" s="4"/>
    </row>
    <row r="167" spans="1:46" s="18" customFormat="1" x14ac:dyDescent="0.4">
      <c r="A167" s="17" t="s">
        <v>45</v>
      </c>
      <c r="B167" s="1">
        <f t="shared" ref="B167:J167" si="35">SUM(B144:B159)</f>
        <v>0</v>
      </c>
      <c r="C167" s="1">
        <f t="shared" si="35"/>
        <v>0</v>
      </c>
      <c r="D167" s="1">
        <f t="shared" si="35"/>
        <v>0</v>
      </c>
      <c r="E167" s="1">
        <f t="shared" si="35"/>
        <v>0</v>
      </c>
      <c r="F167" s="1">
        <f t="shared" si="35"/>
        <v>0</v>
      </c>
      <c r="G167" s="1">
        <f t="shared" si="35"/>
        <v>0</v>
      </c>
      <c r="H167" s="1">
        <f t="shared" si="35"/>
        <v>0</v>
      </c>
      <c r="I167" s="1">
        <f t="shared" si="35"/>
        <v>0</v>
      </c>
      <c r="J167" s="1">
        <f t="shared" si="35"/>
        <v>0</v>
      </c>
      <c r="K167" s="1">
        <f t="shared" ref="K167:U167" si="36">SUM(K144:K160)</f>
        <v>0</v>
      </c>
      <c r="L167" s="1">
        <f t="shared" si="36"/>
        <v>0</v>
      </c>
      <c r="M167" s="1">
        <f t="shared" si="36"/>
        <v>0</v>
      </c>
      <c r="N167" s="1">
        <f t="shared" si="36"/>
        <v>0</v>
      </c>
      <c r="O167" s="1">
        <f t="shared" si="36"/>
        <v>0</v>
      </c>
      <c r="P167" s="1">
        <f t="shared" si="36"/>
        <v>0</v>
      </c>
      <c r="Q167" s="1">
        <f t="shared" si="36"/>
        <v>0</v>
      </c>
      <c r="R167" s="1">
        <f t="shared" si="36"/>
        <v>0</v>
      </c>
      <c r="S167" s="1">
        <f t="shared" si="36"/>
        <v>0</v>
      </c>
      <c r="T167" s="1">
        <f t="shared" si="36"/>
        <v>0</v>
      </c>
      <c r="U167" s="1">
        <f t="shared" si="36"/>
        <v>0</v>
      </c>
      <c r="V167" s="1">
        <f t="shared" ref="V167:AA167" si="37">SUM(V144:V164)</f>
        <v>24720</v>
      </c>
      <c r="W167" s="1">
        <f t="shared" si="37"/>
        <v>0</v>
      </c>
      <c r="X167" s="1">
        <f t="shared" si="37"/>
        <v>0</v>
      </c>
      <c r="Y167" s="1">
        <f t="shared" si="37"/>
        <v>0</v>
      </c>
      <c r="Z167" s="1">
        <f t="shared" si="37"/>
        <v>0</v>
      </c>
      <c r="AA167" s="1">
        <f t="shared" si="37"/>
        <v>6824.4</v>
      </c>
      <c r="AB167" s="1">
        <f t="shared" ref="AB167:AP167" si="38">SUM(AB144:AB166)</f>
        <v>31112.25</v>
      </c>
      <c r="AC167" s="1">
        <f t="shared" si="38"/>
        <v>57618.8</v>
      </c>
      <c r="AD167" s="1">
        <f t="shared" si="38"/>
        <v>0</v>
      </c>
      <c r="AE167" s="1">
        <f t="shared" si="38"/>
        <v>25592.940000000002</v>
      </c>
      <c r="AF167" s="1">
        <f t="shared" si="38"/>
        <v>51341.100000000006</v>
      </c>
      <c r="AG167" s="1">
        <f t="shared" si="38"/>
        <v>10803.74</v>
      </c>
      <c r="AH167" s="1">
        <f>SUM(AH144:AH166)</f>
        <v>106666.94</v>
      </c>
      <c r="AI167" s="1">
        <f t="shared" si="38"/>
        <v>12951.86</v>
      </c>
      <c r="AJ167" s="1">
        <f t="shared" si="38"/>
        <v>10761.48</v>
      </c>
      <c r="AK167" s="1">
        <f t="shared" si="38"/>
        <v>17974.09</v>
      </c>
      <c r="AL167" s="1">
        <f t="shared" si="38"/>
        <v>0</v>
      </c>
      <c r="AM167" s="1">
        <f t="shared" si="38"/>
        <v>0</v>
      </c>
      <c r="AN167" s="1">
        <f t="shared" si="38"/>
        <v>0</v>
      </c>
      <c r="AO167" s="1">
        <f t="shared" si="38"/>
        <v>0</v>
      </c>
      <c r="AP167" s="1">
        <f t="shared" si="38"/>
        <v>0</v>
      </c>
    </row>
    <row r="170" spans="1:46" s="49" customFormat="1" x14ac:dyDescent="0.4">
      <c r="A170" s="48" t="s">
        <v>67</v>
      </c>
      <c r="C170" s="50" t="s">
        <v>53</v>
      </c>
      <c r="D170" s="50" t="s">
        <v>53</v>
      </c>
      <c r="E170" s="50" t="s">
        <v>53</v>
      </c>
      <c r="F170" s="50" t="s">
        <v>53</v>
      </c>
      <c r="G170" s="50" t="s">
        <v>53</v>
      </c>
      <c r="H170" s="50" t="s">
        <v>53</v>
      </c>
      <c r="I170" s="50" t="s">
        <v>53</v>
      </c>
      <c r="J170" s="50" t="s">
        <v>53</v>
      </c>
      <c r="K170" s="50" t="s">
        <v>53</v>
      </c>
      <c r="L170" s="50" t="s">
        <v>53</v>
      </c>
      <c r="M170" s="50" t="s">
        <v>53</v>
      </c>
      <c r="N170" s="50" t="s">
        <v>53</v>
      </c>
      <c r="O170" s="50" t="s">
        <v>53</v>
      </c>
      <c r="P170" s="50" t="s">
        <v>53</v>
      </c>
      <c r="Q170" s="50" t="s">
        <v>53</v>
      </c>
      <c r="R170" s="50" t="s">
        <v>53</v>
      </c>
      <c r="S170" s="50" t="s">
        <v>53</v>
      </c>
      <c r="T170" s="50" t="s">
        <v>53</v>
      </c>
      <c r="U170" s="50" t="s">
        <v>53</v>
      </c>
      <c r="V170" s="50" t="s">
        <v>53</v>
      </c>
      <c r="W170" s="49" t="str">
        <f t="shared" ref="W170:AT170" si="39">+W142</f>
        <v>Consuntivato</v>
      </c>
      <c r="X170" s="49" t="str">
        <f t="shared" si="39"/>
        <v>Consuntivato</v>
      </c>
      <c r="Y170" s="49" t="str">
        <f t="shared" si="39"/>
        <v>Consuntivato</v>
      </c>
      <c r="Z170" s="51" t="str">
        <f t="shared" si="39"/>
        <v>Consuntivato</v>
      </c>
      <c r="AA170" s="51" t="str">
        <f t="shared" si="39"/>
        <v>Consuntivato</v>
      </c>
      <c r="AB170" s="51" t="str">
        <f t="shared" si="39"/>
        <v>Consuntivato</v>
      </c>
      <c r="AC170" s="51" t="str">
        <f t="shared" si="39"/>
        <v>Consuntivato</v>
      </c>
      <c r="AD170" s="51" t="str">
        <f t="shared" si="39"/>
        <v>Consuntivato</v>
      </c>
      <c r="AE170" s="51" t="str">
        <f t="shared" si="39"/>
        <v>Consuntivato</v>
      </c>
      <c r="AF170" s="51" t="str">
        <f t="shared" si="39"/>
        <v>Consuntivato</v>
      </c>
      <c r="AG170" s="51">
        <f t="shared" si="39"/>
        <v>0</v>
      </c>
      <c r="AH170" s="51">
        <f t="shared" si="39"/>
        <v>0</v>
      </c>
      <c r="AI170" s="51">
        <f t="shared" si="39"/>
        <v>0</v>
      </c>
      <c r="AJ170" s="49">
        <f t="shared" si="39"/>
        <v>0</v>
      </c>
      <c r="AK170" s="49">
        <f t="shared" si="39"/>
        <v>0</v>
      </c>
      <c r="AL170" s="49">
        <f t="shared" si="39"/>
        <v>0</v>
      </c>
      <c r="AM170" s="49">
        <f t="shared" si="39"/>
        <v>0</v>
      </c>
      <c r="AN170" s="49">
        <f t="shared" si="39"/>
        <v>0</v>
      </c>
      <c r="AO170" s="49">
        <f t="shared" si="39"/>
        <v>0</v>
      </c>
      <c r="AP170" s="49">
        <f t="shared" si="39"/>
        <v>0</v>
      </c>
      <c r="AQ170" s="49">
        <f t="shared" si="39"/>
        <v>0</v>
      </c>
      <c r="AR170" s="49">
        <f t="shared" si="39"/>
        <v>0</v>
      </c>
      <c r="AS170" s="49">
        <f t="shared" si="39"/>
        <v>0</v>
      </c>
      <c r="AT170" s="49">
        <f t="shared" si="39"/>
        <v>0</v>
      </c>
    </row>
    <row r="171" spans="1:46" s="15" customFormat="1" ht="15" x14ac:dyDescent="0.5">
      <c r="A171" s="16">
        <f t="shared" ref="A171:A194" si="40">+A143</f>
        <v>2019</v>
      </c>
      <c r="B171" s="2">
        <v>4</v>
      </c>
      <c r="C171" s="2">
        <v>5</v>
      </c>
      <c r="D171" s="2">
        <v>6</v>
      </c>
      <c r="E171" s="2">
        <v>7</v>
      </c>
      <c r="F171" s="2">
        <v>8</v>
      </c>
      <c r="G171" s="2">
        <v>9</v>
      </c>
      <c r="H171" s="2">
        <v>10</v>
      </c>
      <c r="I171" s="2">
        <v>11</v>
      </c>
      <c r="J171" s="2">
        <v>12</v>
      </c>
      <c r="K171" s="22">
        <v>1</v>
      </c>
      <c r="L171" s="22">
        <v>2</v>
      </c>
      <c r="M171" s="22">
        <v>3</v>
      </c>
      <c r="N171" s="22">
        <v>4</v>
      </c>
      <c r="O171" s="22">
        <v>5</v>
      </c>
      <c r="P171" s="22">
        <v>6</v>
      </c>
      <c r="Q171" s="22">
        <v>7</v>
      </c>
      <c r="R171" s="22">
        <v>8</v>
      </c>
      <c r="S171" s="22">
        <v>9</v>
      </c>
      <c r="T171" s="22">
        <v>10</v>
      </c>
      <c r="U171" s="22">
        <v>11</v>
      </c>
      <c r="V171" s="22">
        <v>12</v>
      </c>
      <c r="W171" s="22">
        <v>1</v>
      </c>
      <c r="X171" s="22">
        <v>2</v>
      </c>
      <c r="Y171" s="22">
        <v>3</v>
      </c>
      <c r="Z171" s="22">
        <v>4</v>
      </c>
      <c r="AA171" s="22">
        <v>5</v>
      </c>
      <c r="AB171" s="22">
        <v>6</v>
      </c>
      <c r="AC171" s="22">
        <v>7</v>
      </c>
      <c r="AD171" s="22">
        <v>8</v>
      </c>
      <c r="AE171" s="22">
        <v>9</v>
      </c>
      <c r="AF171" s="22">
        <v>10</v>
      </c>
      <c r="AG171" s="22">
        <v>11</v>
      </c>
      <c r="AH171" s="22">
        <v>12</v>
      </c>
      <c r="AI171" s="22">
        <v>1</v>
      </c>
      <c r="AJ171" s="22">
        <v>2</v>
      </c>
      <c r="AK171" s="22">
        <v>3</v>
      </c>
      <c r="AL171" s="22">
        <v>4</v>
      </c>
      <c r="AM171" s="22">
        <v>5</v>
      </c>
      <c r="AN171" s="22">
        <v>6</v>
      </c>
      <c r="AO171" s="22">
        <v>7</v>
      </c>
      <c r="AP171" s="22">
        <v>8</v>
      </c>
    </row>
    <row r="172" spans="1:46" s="4" customFormat="1" x14ac:dyDescent="0.4">
      <c r="A172" s="9" t="str">
        <f t="shared" si="40"/>
        <v>Cliente 1</v>
      </c>
      <c r="C172" s="12"/>
      <c r="D172" s="12"/>
      <c r="E172" s="12"/>
    </row>
    <row r="173" spans="1:46" s="4" customFormat="1" x14ac:dyDescent="0.4">
      <c r="A173" s="9" t="str">
        <f t="shared" si="40"/>
        <v>Cliente 2</v>
      </c>
      <c r="C173" s="12"/>
      <c r="D173" s="12"/>
      <c r="E173" s="12"/>
      <c r="AJ173" s="4">
        <v>55000</v>
      </c>
      <c r="AK173" s="4">
        <v>55000</v>
      </c>
      <c r="AL173" s="4">
        <v>55000</v>
      </c>
    </row>
    <row r="174" spans="1:46" s="4" customFormat="1" x14ac:dyDescent="0.4">
      <c r="A174" s="9" t="str">
        <f t="shared" si="40"/>
        <v>Cliente 3</v>
      </c>
      <c r="C174" s="12"/>
      <c r="D174" s="12"/>
      <c r="E174" s="12"/>
      <c r="I174" s="8"/>
      <c r="J174" s="8"/>
      <c r="K174" s="8"/>
      <c r="AK174" s="4">
        <v>38000</v>
      </c>
    </row>
    <row r="175" spans="1:46" s="1" customFormat="1" x14ac:dyDescent="0.4">
      <c r="A175" s="9" t="str">
        <f t="shared" si="40"/>
        <v>Cliente 4</v>
      </c>
      <c r="B175" s="10"/>
      <c r="C175" s="10"/>
      <c r="D175" s="13"/>
      <c r="E175" s="13"/>
      <c r="F175" s="10"/>
      <c r="G175" s="10"/>
      <c r="H175" s="11"/>
      <c r="I175" s="24"/>
      <c r="J175" s="24"/>
      <c r="K175" s="24"/>
      <c r="L175" s="11"/>
      <c r="M175" s="11"/>
      <c r="O175" s="4"/>
      <c r="R175" s="4"/>
      <c r="AF175" s="4"/>
      <c r="AG175" s="4"/>
      <c r="AH175" s="4"/>
      <c r="AI175" s="4"/>
      <c r="AJ175" s="4"/>
      <c r="AL175" s="4">
        <v>44000</v>
      </c>
    </row>
    <row r="176" spans="1:46" s="1" customFormat="1" x14ac:dyDescent="0.4">
      <c r="A176" s="9" t="str">
        <f t="shared" si="40"/>
        <v>Cliente 5</v>
      </c>
      <c r="B176" s="10"/>
      <c r="C176" s="13"/>
      <c r="D176" s="13"/>
      <c r="E176" s="13"/>
      <c r="F176" s="10"/>
      <c r="G176" s="10"/>
      <c r="H176" s="11"/>
      <c r="I176" s="24"/>
      <c r="J176" s="24"/>
      <c r="K176" s="24"/>
      <c r="L176" s="11"/>
      <c r="M176" s="11"/>
      <c r="O176" s="4"/>
      <c r="P176" s="4"/>
      <c r="AF176" s="4"/>
      <c r="AG176" s="4"/>
      <c r="AH176" s="4"/>
      <c r="AI176" s="4"/>
      <c r="AJ176" s="4">
        <v>61000</v>
      </c>
      <c r="AK176" s="4">
        <v>70000</v>
      </c>
      <c r="AL176" s="4">
        <v>81500</v>
      </c>
    </row>
    <row r="177" spans="1:36" s="1" customFormat="1" x14ac:dyDescent="0.4">
      <c r="A177" s="9" t="str">
        <f t="shared" si="40"/>
        <v>Cliente 6</v>
      </c>
      <c r="B177" s="10"/>
      <c r="C177" s="14"/>
      <c r="D177" s="14"/>
      <c r="E177" s="13"/>
      <c r="F177" s="10"/>
      <c r="G177" s="10"/>
      <c r="H177" s="11"/>
      <c r="I177" s="24"/>
      <c r="J177" s="24"/>
      <c r="K177" s="24"/>
      <c r="L177" s="11"/>
      <c r="M177" s="11"/>
      <c r="O177" s="4"/>
      <c r="P177" s="4"/>
      <c r="Y177" s="4"/>
      <c r="AF177" s="4"/>
      <c r="AG177" s="4"/>
      <c r="AH177" s="4"/>
      <c r="AI177" s="4"/>
      <c r="AJ177" s="4"/>
    </row>
    <row r="178" spans="1:36" s="1" customFormat="1" x14ac:dyDescent="0.4">
      <c r="A178" s="9" t="str">
        <f t="shared" si="40"/>
        <v>Cliente 7</v>
      </c>
      <c r="B178" s="10"/>
      <c r="C178" s="10"/>
      <c r="D178" s="13"/>
      <c r="E178" s="13"/>
      <c r="F178" s="10"/>
      <c r="G178" s="10"/>
      <c r="H178" s="11"/>
      <c r="I178" s="26"/>
      <c r="J178" s="24"/>
      <c r="K178" s="24"/>
      <c r="L178" s="11"/>
      <c r="M178" s="11"/>
      <c r="O178" s="4"/>
      <c r="P178" s="8"/>
      <c r="R178" s="4"/>
      <c r="AF178" s="4"/>
      <c r="AG178" s="4"/>
      <c r="AH178" s="4"/>
      <c r="AI178" s="4"/>
      <c r="AJ178" s="4"/>
    </row>
    <row r="179" spans="1:36" s="1" customFormat="1" x14ac:dyDescent="0.4">
      <c r="A179" s="9" t="str">
        <f t="shared" si="40"/>
        <v>Cliente 8</v>
      </c>
      <c r="B179" s="10"/>
      <c r="C179" s="13"/>
      <c r="D179" s="13"/>
      <c r="E179" s="13"/>
      <c r="F179" s="10"/>
      <c r="G179" s="10"/>
      <c r="H179" s="11"/>
      <c r="I179" s="24"/>
      <c r="J179" s="26"/>
      <c r="K179" s="24"/>
      <c r="L179" s="26"/>
      <c r="M179" s="11"/>
      <c r="O179" s="4"/>
      <c r="AF179" s="4"/>
      <c r="AG179" s="4"/>
      <c r="AH179" s="4"/>
      <c r="AI179" s="4"/>
      <c r="AJ179" s="4"/>
    </row>
    <row r="180" spans="1:36" s="1" customFormat="1" x14ac:dyDescent="0.4">
      <c r="A180" s="9" t="str">
        <f t="shared" si="40"/>
        <v>Cliente 9</v>
      </c>
      <c r="B180" s="10"/>
      <c r="C180" s="10"/>
      <c r="D180" s="12"/>
      <c r="E180" s="12"/>
      <c r="F180" s="13"/>
      <c r="G180" s="10"/>
      <c r="H180" s="10"/>
      <c r="I180" s="8"/>
      <c r="J180" s="24"/>
      <c r="K180" s="24"/>
      <c r="L180" s="26"/>
      <c r="M180" s="11"/>
      <c r="O180" s="4"/>
      <c r="S180" s="4"/>
      <c r="AF180" s="4"/>
      <c r="AG180" s="4"/>
      <c r="AH180" s="4"/>
      <c r="AI180" s="4"/>
      <c r="AJ180" s="4"/>
    </row>
    <row r="181" spans="1:36" s="1" customFormat="1" x14ac:dyDescent="0.4">
      <c r="A181" s="9" t="str">
        <f t="shared" si="40"/>
        <v>Cliente 10</v>
      </c>
      <c r="B181" s="9"/>
      <c r="C181" s="10"/>
      <c r="D181" s="12"/>
      <c r="E181" s="14"/>
      <c r="F181" s="10"/>
      <c r="G181" s="10"/>
      <c r="H181" s="10"/>
      <c r="I181" s="8"/>
      <c r="J181" s="26"/>
      <c r="K181" s="24"/>
      <c r="L181" s="26"/>
      <c r="M181" s="11"/>
      <c r="O181" s="4"/>
      <c r="P181" s="8"/>
      <c r="R181" s="4"/>
      <c r="Y181" s="8"/>
      <c r="AB181" s="4"/>
      <c r="AD181" s="4"/>
      <c r="AF181" s="4"/>
      <c r="AG181" s="4"/>
      <c r="AH181" s="4"/>
      <c r="AI181" s="4"/>
      <c r="AJ181" s="4"/>
    </row>
    <row r="182" spans="1:36" s="1" customFormat="1" x14ac:dyDescent="0.4">
      <c r="A182" s="9" t="str">
        <f t="shared" si="40"/>
        <v>Cliente 11</v>
      </c>
      <c r="B182" s="9"/>
      <c r="C182" s="10"/>
      <c r="D182" s="13"/>
      <c r="E182" s="13"/>
      <c r="F182" s="10"/>
      <c r="G182" s="10"/>
      <c r="H182" s="11"/>
      <c r="I182" s="24"/>
      <c r="J182" s="24"/>
      <c r="K182" s="24"/>
      <c r="L182" s="26"/>
      <c r="M182" s="11"/>
      <c r="O182" s="4"/>
      <c r="AF182" s="4"/>
      <c r="AG182" s="4"/>
      <c r="AH182" s="4"/>
      <c r="AI182" s="4"/>
      <c r="AJ182" s="4"/>
    </row>
    <row r="183" spans="1:36" s="1" customFormat="1" x14ac:dyDescent="0.4">
      <c r="A183" s="9" t="str">
        <f t="shared" si="40"/>
        <v>Cliente 12</v>
      </c>
      <c r="B183" s="9"/>
      <c r="C183" s="10"/>
      <c r="D183" s="13"/>
      <c r="E183" s="10"/>
      <c r="F183" s="10"/>
      <c r="G183" s="10"/>
      <c r="H183" s="11"/>
      <c r="I183" s="24"/>
      <c r="J183" s="24"/>
      <c r="K183" s="24"/>
      <c r="L183" s="26"/>
      <c r="M183" s="11"/>
      <c r="O183" s="4"/>
      <c r="P183" s="4"/>
      <c r="R183" s="4"/>
      <c r="AF183" s="4"/>
      <c r="AG183" s="4"/>
      <c r="AH183" s="4"/>
      <c r="AI183" s="4"/>
      <c r="AJ183" s="4"/>
    </row>
    <row r="184" spans="1:36" s="1" customFormat="1" x14ac:dyDescent="0.4">
      <c r="A184" s="9" t="str">
        <f t="shared" si="40"/>
        <v>Cliente 13</v>
      </c>
      <c r="B184" s="9"/>
      <c r="C184" s="10"/>
      <c r="D184" s="13"/>
      <c r="E184" s="10"/>
      <c r="F184" s="10"/>
      <c r="G184" s="10"/>
      <c r="H184" s="11"/>
      <c r="I184" s="24"/>
      <c r="J184" s="24"/>
      <c r="K184" s="24"/>
      <c r="L184" s="11"/>
      <c r="M184" s="11"/>
      <c r="O184" s="4"/>
      <c r="Y184" s="4"/>
      <c r="AF184" s="4"/>
      <c r="AG184" s="4"/>
      <c r="AH184" s="4"/>
      <c r="AI184" s="4"/>
      <c r="AJ184" s="4"/>
    </row>
    <row r="185" spans="1:36" s="1" customFormat="1" x14ac:dyDescent="0.4">
      <c r="A185" s="9" t="str">
        <f t="shared" si="40"/>
        <v>Cliente 14</v>
      </c>
      <c r="B185" s="9"/>
      <c r="C185" s="10"/>
      <c r="D185" s="13"/>
      <c r="E185" s="10"/>
      <c r="F185" s="10"/>
      <c r="G185" s="10"/>
      <c r="H185" s="11"/>
      <c r="I185" s="26"/>
      <c r="J185" s="24"/>
      <c r="K185" s="24"/>
      <c r="L185" s="11"/>
      <c r="M185" s="11"/>
      <c r="Q185" s="4"/>
      <c r="AF185" s="4"/>
      <c r="AG185" s="4"/>
      <c r="AH185" s="4"/>
      <c r="AI185" s="4"/>
      <c r="AJ185" s="4"/>
    </row>
    <row r="186" spans="1:36" s="1" customFormat="1" x14ac:dyDescent="0.4">
      <c r="A186" s="9" t="str">
        <f t="shared" si="40"/>
        <v>Cliente 15</v>
      </c>
      <c r="B186" s="9"/>
      <c r="C186" s="10"/>
      <c r="D186" s="13"/>
      <c r="E186" s="10"/>
      <c r="F186" s="10"/>
      <c r="G186" s="10"/>
      <c r="H186" s="11"/>
      <c r="I186" s="24"/>
      <c r="J186" s="26"/>
      <c r="K186" s="24"/>
      <c r="L186" s="11"/>
      <c r="M186" s="11"/>
      <c r="AF186" s="4"/>
      <c r="AG186" s="4"/>
      <c r="AH186" s="4"/>
      <c r="AI186" s="4"/>
      <c r="AJ186" s="4"/>
    </row>
    <row r="187" spans="1:36" s="1" customFormat="1" x14ac:dyDescent="0.4">
      <c r="A187" s="9" t="str">
        <f t="shared" si="40"/>
        <v>Cliente 16</v>
      </c>
      <c r="B187" s="9"/>
      <c r="C187" s="10"/>
      <c r="D187" s="13"/>
      <c r="E187" s="10"/>
      <c r="F187" s="10"/>
      <c r="G187" s="10"/>
      <c r="H187" s="11"/>
      <c r="I187" s="11"/>
      <c r="J187" s="11"/>
      <c r="K187" s="11"/>
      <c r="L187" s="11"/>
      <c r="M187" s="11"/>
      <c r="O187" s="4"/>
      <c r="AF187" s="4"/>
      <c r="AG187" s="4"/>
      <c r="AH187" s="4"/>
      <c r="AI187" s="4"/>
      <c r="AJ187" s="4"/>
    </row>
    <row r="188" spans="1:36" s="1" customFormat="1" x14ac:dyDescent="0.4">
      <c r="A188" s="9" t="str">
        <f t="shared" si="40"/>
        <v>Cliente 17</v>
      </c>
      <c r="B188" s="9"/>
      <c r="C188" s="10"/>
      <c r="D188" s="13"/>
      <c r="E188" s="10"/>
      <c r="F188" s="10"/>
      <c r="G188" s="10"/>
      <c r="H188" s="11"/>
      <c r="I188" s="11"/>
      <c r="J188" s="11"/>
      <c r="K188" s="11"/>
      <c r="L188" s="11"/>
      <c r="M188" s="11"/>
      <c r="O188" s="4"/>
      <c r="AF188" s="4"/>
      <c r="AG188" s="4"/>
      <c r="AH188" s="4"/>
      <c r="AI188" s="4"/>
      <c r="AJ188" s="4"/>
    </row>
    <row r="189" spans="1:36" s="1" customFormat="1" x14ac:dyDescent="0.4">
      <c r="A189" s="9" t="str">
        <f t="shared" si="40"/>
        <v>Cliente 18</v>
      </c>
      <c r="B189" s="9"/>
      <c r="C189" s="10"/>
      <c r="D189" s="13"/>
      <c r="E189" s="10"/>
      <c r="F189" s="10"/>
      <c r="G189" s="10"/>
      <c r="H189" s="11"/>
      <c r="I189" s="11"/>
      <c r="J189" s="11"/>
      <c r="K189" s="11"/>
      <c r="L189" s="11"/>
      <c r="M189" s="11"/>
      <c r="O189" s="4"/>
      <c r="Y189" s="4"/>
      <c r="AF189" s="4"/>
      <c r="AG189" s="4"/>
      <c r="AH189" s="4"/>
      <c r="AI189" s="4"/>
      <c r="AJ189" s="4"/>
    </row>
    <row r="190" spans="1:36" s="1" customFormat="1" x14ac:dyDescent="0.4">
      <c r="A190" s="9" t="str">
        <f t="shared" si="40"/>
        <v>Cliente 19</v>
      </c>
      <c r="B190" s="9"/>
      <c r="C190" s="10"/>
      <c r="D190" s="13"/>
      <c r="E190" s="10"/>
      <c r="F190" s="10"/>
      <c r="G190" s="10"/>
      <c r="H190" s="11"/>
      <c r="I190" s="11"/>
      <c r="J190" s="11"/>
      <c r="K190" s="11"/>
      <c r="L190" s="11"/>
      <c r="M190" s="11"/>
      <c r="O190" s="4"/>
      <c r="AF190" s="4"/>
      <c r="AG190" s="4"/>
      <c r="AH190" s="4"/>
      <c r="AI190" s="4"/>
      <c r="AJ190" s="4"/>
    </row>
    <row r="191" spans="1:36" s="1" customFormat="1" x14ac:dyDescent="0.4">
      <c r="A191" s="9" t="str">
        <f t="shared" si="40"/>
        <v>Cliente 20</v>
      </c>
      <c r="B191" s="9"/>
      <c r="C191" s="10"/>
      <c r="D191" s="13"/>
      <c r="E191" s="10"/>
      <c r="F191" s="10"/>
      <c r="G191" s="10"/>
      <c r="H191" s="11"/>
      <c r="I191" s="11"/>
      <c r="J191" s="11"/>
      <c r="K191" s="11"/>
      <c r="L191" s="11"/>
      <c r="M191" s="11"/>
      <c r="O191" s="4"/>
      <c r="AF191" s="4"/>
      <c r="AG191" s="4"/>
      <c r="AH191" s="4"/>
      <c r="AI191" s="4"/>
      <c r="AJ191" s="4"/>
    </row>
    <row r="192" spans="1:36" s="1" customFormat="1" x14ac:dyDescent="0.4">
      <c r="A192" s="9" t="str">
        <f t="shared" si="40"/>
        <v>Cliente 21</v>
      </c>
      <c r="B192" s="9"/>
      <c r="C192" s="10"/>
      <c r="D192" s="13"/>
      <c r="E192" s="10"/>
      <c r="F192" s="10"/>
      <c r="G192" s="10"/>
      <c r="H192" s="11"/>
      <c r="I192" s="11"/>
      <c r="J192" s="11"/>
      <c r="K192" s="11"/>
      <c r="L192" s="11"/>
      <c r="M192" s="11"/>
      <c r="O192" s="4"/>
      <c r="AF192" s="4"/>
      <c r="AG192" s="4"/>
      <c r="AH192" s="4"/>
      <c r="AI192" s="4"/>
      <c r="AJ192" s="4"/>
    </row>
    <row r="193" spans="1:55" s="1" customFormat="1" x14ac:dyDescent="0.4">
      <c r="A193" s="9" t="str">
        <f t="shared" si="40"/>
        <v>Cliente 22</v>
      </c>
      <c r="B193" s="9"/>
      <c r="C193" s="10"/>
      <c r="D193" s="13"/>
      <c r="E193" s="10"/>
      <c r="F193" s="10"/>
      <c r="G193" s="10"/>
      <c r="H193" s="11"/>
      <c r="I193" s="11"/>
      <c r="J193" s="11"/>
      <c r="K193" s="11"/>
      <c r="L193" s="11"/>
      <c r="M193" s="11"/>
      <c r="O193" s="4"/>
      <c r="AB193" s="4"/>
      <c r="AF193" s="4"/>
      <c r="AG193" s="4"/>
      <c r="AH193" s="4"/>
      <c r="AI193" s="4"/>
      <c r="AJ193" s="4"/>
    </row>
    <row r="194" spans="1:55" s="1" customFormat="1" x14ac:dyDescent="0.4">
      <c r="A194" s="9" t="str">
        <f t="shared" si="40"/>
        <v>Cliente 23</v>
      </c>
      <c r="B194" s="9"/>
      <c r="C194" s="10"/>
      <c r="D194" s="13"/>
      <c r="E194" s="10"/>
      <c r="F194" s="10"/>
      <c r="G194" s="10"/>
      <c r="H194" s="11"/>
      <c r="I194" s="11"/>
      <c r="J194" s="11"/>
      <c r="K194" s="11"/>
      <c r="L194" s="11"/>
      <c r="M194" s="11"/>
      <c r="O194" s="4"/>
      <c r="AB194" s="4"/>
      <c r="AF194" s="4"/>
      <c r="AG194" s="4"/>
      <c r="AH194" s="4"/>
      <c r="AI194" s="4"/>
      <c r="AJ194" s="4"/>
    </row>
    <row r="195" spans="1:55" s="18" customFormat="1" x14ac:dyDescent="0.4">
      <c r="A195" s="17" t="s">
        <v>45</v>
      </c>
      <c r="B195" s="1">
        <f t="shared" ref="B195:K195" si="41">SUM(B172:B187)</f>
        <v>0</v>
      </c>
      <c r="C195" s="1">
        <f t="shared" si="41"/>
        <v>0</v>
      </c>
      <c r="D195" s="1">
        <f t="shared" si="41"/>
        <v>0</v>
      </c>
      <c r="E195" s="1">
        <f t="shared" si="41"/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ref="L195:U195" si="42">SUM(L172:L188)</f>
        <v>0</v>
      </c>
      <c r="M195" s="1">
        <f t="shared" si="42"/>
        <v>0</v>
      </c>
      <c r="N195" s="1">
        <f t="shared" si="42"/>
        <v>0</v>
      </c>
      <c r="O195" s="1">
        <f t="shared" si="42"/>
        <v>0</v>
      </c>
      <c r="P195" s="1">
        <f t="shared" si="42"/>
        <v>0</v>
      </c>
      <c r="Q195" s="1">
        <f t="shared" si="42"/>
        <v>0</v>
      </c>
      <c r="R195" s="1">
        <f t="shared" si="42"/>
        <v>0</v>
      </c>
      <c r="S195" s="1">
        <f t="shared" si="42"/>
        <v>0</v>
      </c>
      <c r="T195" s="1">
        <f t="shared" si="42"/>
        <v>0</v>
      </c>
      <c r="U195" s="1">
        <f t="shared" si="42"/>
        <v>0</v>
      </c>
      <c r="V195" s="1">
        <f t="shared" ref="V195:AA195" si="43">SUM(V172:V192)</f>
        <v>0</v>
      </c>
      <c r="W195" s="1">
        <f t="shared" si="43"/>
        <v>0</v>
      </c>
      <c r="X195" s="1">
        <f t="shared" si="43"/>
        <v>0</v>
      </c>
      <c r="Y195" s="1">
        <f t="shared" si="43"/>
        <v>0</v>
      </c>
      <c r="Z195" s="1">
        <f t="shared" si="43"/>
        <v>0</v>
      </c>
      <c r="AA195" s="1">
        <f t="shared" si="43"/>
        <v>0</v>
      </c>
      <c r="AB195" s="1">
        <f t="shared" ref="AB195:AP195" si="44">SUM(AB172:AB194)</f>
        <v>0</v>
      </c>
      <c r="AC195" s="1">
        <f t="shared" si="44"/>
        <v>0</v>
      </c>
      <c r="AD195" s="1">
        <f t="shared" si="44"/>
        <v>0</v>
      </c>
      <c r="AE195" s="1">
        <f t="shared" si="44"/>
        <v>0</v>
      </c>
      <c r="AF195" s="1">
        <f t="shared" si="44"/>
        <v>0</v>
      </c>
      <c r="AG195" s="1">
        <f t="shared" si="44"/>
        <v>0</v>
      </c>
      <c r="AH195" s="1">
        <f t="shared" si="44"/>
        <v>0</v>
      </c>
      <c r="AI195" s="1">
        <f t="shared" si="44"/>
        <v>0</v>
      </c>
      <c r="AJ195" s="1">
        <f t="shared" si="44"/>
        <v>116000</v>
      </c>
      <c r="AK195" s="1">
        <f t="shared" si="44"/>
        <v>163000</v>
      </c>
      <c r="AL195" s="1">
        <f t="shared" si="44"/>
        <v>180500</v>
      </c>
      <c r="AM195" s="1">
        <f t="shared" si="44"/>
        <v>0</v>
      </c>
      <c r="AN195" s="1">
        <f t="shared" si="44"/>
        <v>0</v>
      </c>
      <c r="AO195" s="1">
        <f t="shared" si="44"/>
        <v>0</v>
      </c>
      <c r="AP195" s="1">
        <f t="shared" si="44"/>
        <v>0</v>
      </c>
    </row>
    <row r="196" spans="1:55" s="1" customFormat="1" x14ac:dyDescent="0.4">
      <c r="A196" s="9"/>
      <c r="B196" s="9"/>
      <c r="C196" s="10"/>
      <c r="D196" s="13"/>
      <c r="E196" s="10"/>
      <c r="F196" s="10"/>
      <c r="G196" s="10"/>
      <c r="H196" s="11"/>
      <c r="I196" s="11"/>
      <c r="J196" s="11"/>
      <c r="K196" s="11"/>
      <c r="L196" s="11"/>
      <c r="M196" s="11"/>
    </row>
    <row r="198" spans="1:55" s="49" customFormat="1" x14ac:dyDescent="0.4">
      <c r="A198" s="48" t="s">
        <v>68</v>
      </c>
      <c r="C198" s="50" t="s">
        <v>53</v>
      </c>
      <c r="D198" s="50" t="s">
        <v>53</v>
      </c>
      <c r="E198" s="50" t="s">
        <v>53</v>
      </c>
      <c r="F198" s="50" t="s">
        <v>53</v>
      </c>
      <c r="G198" s="50" t="s">
        <v>53</v>
      </c>
      <c r="H198" s="50" t="s">
        <v>53</v>
      </c>
      <c r="I198" s="50" t="s">
        <v>53</v>
      </c>
      <c r="J198" s="50" t="s">
        <v>53</v>
      </c>
      <c r="K198" s="50" t="s">
        <v>53</v>
      </c>
      <c r="L198" s="50" t="s">
        <v>53</v>
      </c>
      <c r="M198" s="50" t="s">
        <v>53</v>
      </c>
      <c r="N198" s="50" t="s">
        <v>53</v>
      </c>
      <c r="O198" s="50" t="s">
        <v>53</v>
      </c>
      <c r="P198" s="50" t="s">
        <v>53</v>
      </c>
      <c r="Q198" s="50" t="s">
        <v>53</v>
      </c>
      <c r="R198" s="50" t="s">
        <v>53</v>
      </c>
      <c r="S198" s="50" t="s">
        <v>53</v>
      </c>
      <c r="T198" s="50" t="s">
        <v>53</v>
      </c>
      <c r="U198" s="50" t="s">
        <v>53</v>
      </c>
      <c r="V198" s="50" t="s">
        <v>53</v>
      </c>
      <c r="W198" s="49" t="str">
        <f t="shared" ref="W198:BC198" si="45">+W170</f>
        <v>Consuntivato</v>
      </c>
      <c r="X198" s="49" t="str">
        <f t="shared" si="45"/>
        <v>Consuntivato</v>
      </c>
      <c r="Y198" s="49" t="str">
        <f t="shared" si="45"/>
        <v>Consuntivato</v>
      </c>
      <c r="Z198" s="51" t="str">
        <f t="shared" si="45"/>
        <v>Consuntivato</v>
      </c>
      <c r="AA198" s="51" t="str">
        <f t="shared" si="45"/>
        <v>Consuntivato</v>
      </c>
      <c r="AB198" s="51" t="str">
        <f t="shared" si="45"/>
        <v>Consuntivato</v>
      </c>
      <c r="AC198" s="51" t="str">
        <f t="shared" si="45"/>
        <v>Consuntivato</v>
      </c>
      <c r="AD198" s="51" t="str">
        <f t="shared" si="45"/>
        <v>Consuntivato</v>
      </c>
      <c r="AE198" s="51" t="str">
        <f t="shared" si="45"/>
        <v>Consuntivato</v>
      </c>
      <c r="AF198" s="51" t="str">
        <f t="shared" si="45"/>
        <v>Consuntivato</v>
      </c>
      <c r="AG198" s="51">
        <f t="shared" si="45"/>
        <v>0</v>
      </c>
      <c r="AH198" s="51">
        <f t="shared" si="45"/>
        <v>0</v>
      </c>
      <c r="AI198" s="51">
        <f t="shared" si="45"/>
        <v>0</v>
      </c>
      <c r="AJ198" s="51">
        <f t="shared" si="45"/>
        <v>0</v>
      </c>
      <c r="AK198" s="49">
        <f t="shared" si="45"/>
        <v>0</v>
      </c>
      <c r="AL198" s="49">
        <f t="shared" si="45"/>
        <v>0</v>
      </c>
      <c r="AM198" s="49">
        <f t="shared" si="45"/>
        <v>0</v>
      </c>
      <c r="AN198" s="49">
        <f t="shared" si="45"/>
        <v>0</v>
      </c>
      <c r="AO198" s="49">
        <f t="shared" si="45"/>
        <v>0</v>
      </c>
      <c r="AP198" s="49">
        <f t="shared" si="45"/>
        <v>0</v>
      </c>
      <c r="AQ198" s="49">
        <f t="shared" si="45"/>
        <v>0</v>
      </c>
      <c r="AR198" s="49">
        <f t="shared" si="45"/>
        <v>0</v>
      </c>
      <c r="AS198" s="49">
        <f t="shared" si="45"/>
        <v>0</v>
      </c>
      <c r="AT198" s="49">
        <f t="shared" si="45"/>
        <v>0</v>
      </c>
      <c r="AU198" s="49">
        <f t="shared" si="45"/>
        <v>0</v>
      </c>
      <c r="AV198" s="49">
        <f t="shared" si="45"/>
        <v>0</v>
      </c>
      <c r="AW198" s="49">
        <f t="shared" si="45"/>
        <v>0</v>
      </c>
      <c r="AX198" s="49">
        <f t="shared" si="45"/>
        <v>0</v>
      </c>
      <c r="AY198" s="49">
        <f t="shared" si="45"/>
        <v>0</v>
      </c>
      <c r="AZ198" s="49">
        <f t="shared" si="45"/>
        <v>0</v>
      </c>
      <c r="BA198" s="49">
        <f t="shared" si="45"/>
        <v>0</v>
      </c>
      <c r="BB198" s="49">
        <f t="shared" si="45"/>
        <v>0</v>
      </c>
      <c r="BC198" s="49">
        <f t="shared" si="45"/>
        <v>0</v>
      </c>
    </row>
    <row r="199" spans="1:55" s="15" customFormat="1" ht="15" x14ac:dyDescent="0.5">
      <c r="A199" s="16">
        <f t="shared" ref="A199:A222" si="46">+A171</f>
        <v>2019</v>
      </c>
      <c r="B199" s="2">
        <v>4</v>
      </c>
      <c r="C199" s="2">
        <v>5</v>
      </c>
      <c r="D199" s="2">
        <v>6</v>
      </c>
      <c r="E199" s="2">
        <v>7</v>
      </c>
      <c r="F199" s="2">
        <v>8</v>
      </c>
      <c r="G199" s="2">
        <v>9</v>
      </c>
      <c r="H199" s="2">
        <v>10</v>
      </c>
      <c r="I199" s="2">
        <v>11</v>
      </c>
      <c r="J199" s="2">
        <v>12</v>
      </c>
      <c r="K199" s="22">
        <v>1</v>
      </c>
      <c r="L199" s="22">
        <v>2</v>
      </c>
      <c r="M199" s="22">
        <v>3</v>
      </c>
      <c r="N199" s="22">
        <v>4</v>
      </c>
      <c r="O199" s="22">
        <v>5</v>
      </c>
      <c r="P199" s="22">
        <v>6</v>
      </c>
      <c r="Q199" s="22">
        <v>7</v>
      </c>
      <c r="R199" s="22">
        <v>8</v>
      </c>
      <c r="S199" s="22">
        <v>9</v>
      </c>
      <c r="T199" s="22">
        <v>10</v>
      </c>
      <c r="U199" s="22">
        <v>11</v>
      </c>
      <c r="V199" s="22">
        <v>12</v>
      </c>
      <c r="W199" s="22">
        <v>1</v>
      </c>
      <c r="X199" s="22">
        <v>2</v>
      </c>
      <c r="Y199" s="22">
        <v>3</v>
      </c>
      <c r="Z199" s="22">
        <v>4</v>
      </c>
      <c r="AA199" s="22">
        <v>5</v>
      </c>
      <c r="AB199" s="22">
        <v>6</v>
      </c>
      <c r="AC199" s="22">
        <v>7</v>
      </c>
      <c r="AD199" s="22">
        <v>8</v>
      </c>
      <c r="AE199" s="22">
        <v>9</v>
      </c>
      <c r="AF199" s="22">
        <v>10</v>
      </c>
      <c r="AG199" s="22">
        <v>11</v>
      </c>
      <c r="AH199" s="22">
        <v>12</v>
      </c>
      <c r="AI199" s="22">
        <v>1</v>
      </c>
      <c r="AJ199" s="22">
        <v>2</v>
      </c>
      <c r="AK199" s="22">
        <v>3</v>
      </c>
      <c r="AL199" s="22">
        <v>4</v>
      </c>
      <c r="AM199" s="22">
        <v>5</v>
      </c>
      <c r="AN199" s="22">
        <v>6</v>
      </c>
      <c r="AO199" s="22">
        <v>7</v>
      </c>
      <c r="AP199" s="22">
        <v>8</v>
      </c>
    </row>
    <row r="200" spans="1:55" s="4" customFormat="1" x14ac:dyDescent="0.4">
      <c r="A200" s="9" t="str">
        <f t="shared" si="46"/>
        <v>Cliente 1</v>
      </c>
    </row>
    <row r="201" spans="1:55" s="4" customFormat="1" x14ac:dyDescent="0.4">
      <c r="A201" s="9" t="str">
        <f t="shared" si="46"/>
        <v>Cliente 2</v>
      </c>
      <c r="AM201" s="4">
        <f>+AJ173</f>
        <v>55000</v>
      </c>
      <c r="AN201" s="4">
        <f t="shared" ref="AN201:AO201" si="47">+AK173</f>
        <v>55000</v>
      </c>
      <c r="AO201" s="4">
        <f t="shared" si="47"/>
        <v>55000</v>
      </c>
    </row>
    <row r="202" spans="1:55" s="4" customFormat="1" x14ac:dyDescent="0.4">
      <c r="A202" s="9" t="str">
        <f t="shared" si="46"/>
        <v>Cliente 3</v>
      </c>
      <c r="K202" s="8"/>
      <c r="L202" s="8"/>
      <c r="M202" s="8"/>
      <c r="N202" s="8"/>
      <c r="O202" s="8"/>
      <c r="AO202" s="4">
        <f>+AK174</f>
        <v>38000</v>
      </c>
    </row>
    <row r="203" spans="1:55" s="1" customFormat="1" x14ac:dyDescent="0.4">
      <c r="A203" s="9" t="str">
        <f t="shared" si="46"/>
        <v>Cliente 4</v>
      </c>
      <c r="B203" s="10"/>
      <c r="C203" s="10"/>
      <c r="D203" s="10"/>
      <c r="E203" s="10"/>
      <c r="F203" s="10"/>
      <c r="G203" s="10"/>
      <c r="H203" s="25"/>
      <c r="I203" s="25"/>
      <c r="J203" s="25"/>
      <c r="K203" s="26"/>
      <c r="L203" s="26"/>
      <c r="M203" s="24"/>
      <c r="N203" s="5"/>
      <c r="O203" s="8"/>
      <c r="P203" s="4"/>
      <c r="Q203" s="4"/>
      <c r="R203" s="4"/>
      <c r="T203" s="4"/>
      <c r="AF203" s="4"/>
      <c r="AG203" s="4"/>
      <c r="AH203" s="4"/>
      <c r="AI203" s="4"/>
      <c r="AJ203" s="4"/>
      <c r="AK203" s="4"/>
      <c r="AM203" s="4"/>
      <c r="AN203" s="4"/>
      <c r="AO203" s="4"/>
      <c r="AP203" s="4">
        <f>+AL175</f>
        <v>44000</v>
      </c>
    </row>
    <row r="204" spans="1:55" s="1" customFormat="1" x14ac:dyDescent="0.4">
      <c r="A204" s="9" t="str">
        <f t="shared" si="46"/>
        <v>Cliente 5</v>
      </c>
      <c r="B204" s="10"/>
      <c r="C204" s="10"/>
      <c r="D204" s="10"/>
      <c r="E204" s="10"/>
      <c r="F204" s="10"/>
      <c r="G204" s="10"/>
      <c r="H204" s="25"/>
      <c r="I204" s="25"/>
      <c r="J204" s="25"/>
      <c r="K204" s="26"/>
      <c r="L204" s="26"/>
      <c r="M204" s="24"/>
      <c r="N204" s="5"/>
      <c r="O204" s="8"/>
      <c r="P204" s="4"/>
      <c r="Q204" s="4"/>
      <c r="R204" s="4"/>
      <c r="S204" s="4"/>
      <c r="AF204" s="4"/>
      <c r="AG204" s="4"/>
      <c r="AH204" s="4"/>
      <c r="AI204" s="4"/>
      <c r="AJ204" s="4"/>
      <c r="AK204" s="4"/>
      <c r="AL204" s="4">
        <f>+AJ176</f>
        <v>61000</v>
      </c>
      <c r="AM204" s="4">
        <f t="shared" ref="AM204:AN204" si="48">+AK176</f>
        <v>70000</v>
      </c>
      <c r="AN204" s="4">
        <f t="shared" si="48"/>
        <v>81500</v>
      </c>
      <c r="AO204" s="4"/>
      <c r="AP204" s="4"/>
    </row>
    <row r="205" spans="1:55" s="1" customFormat="1" x14ac:dyDescent="0.4">
      <c r="A205" s="9" t="str">
        <f t="shared" si="46"/>
        <v>Cliente 6</v>
      </c>
      <c r="B205" s="10"/>
      <c r="E205" s="10"/>
      <c r="F205" s="10"/>
      <c r="G205" s="10"/>
      <c r="H205" s="25"/>
      <c r="I205" s="25"/>
      <c r="J205" s="25"/>
      <c r="K205" s="26"/>
      <c r="L205" s="26"/>
      <c r="M205" s="24"/>
      <c r="N205" s="5"/>
      <c r="O205" s="8"/>
      <c r="P205" s="4"/>
      <c r="Q205" s="4"/>
      <c r="R205" s="4"/>
      <c r="S205" s="4"/>
      <c r="AB205" s="4"/>
      <c r="AF205" s="4"/>
      <c r="AG205" s="4"/>
      <c r="AH205" s="4"/>
      <c r="AI205" s="4"/>
      <c r="AJ205" s="4"/>
      <c r="AK205" s="4"/>
    </row>
    <row r="206" spans="1:55" s="1" customFormat="1" x14ac:dyDescent="0.4">
      <c r="A206" s="9" t="str">
        <f t="shared" si="46"/>
        <v>Cliente 7</v>
      </c>
      <c r="B206" s="10"/>
      <c r="C206" s="4"/>
      <c r="D206" s="10"/>
      <c r="E206" s="10"/>
      <c r="F206" s="10"/>
      <c r="G206" s="10"/>
      <c r="H206" s="25"/>
      <c r="I206" s="25"/>
      <c r="J206" s="25"/>
      <c r="K206" s="26"/>
      <c r="L206" s="26"/>
      <c r="M206" s="26"/>
      <c r="N206" s="5"/>
      <c r="O206" s="8"/>
      <c r="P206" s="4"/>
      <c r="Q206" s="4"/>
      <c r="R206" s="4"/>
      <c r="T206" s="4"/>
      <c r="U206" s="4"/>
      <c r="AF206" s="4"/>
      <c r="AG206" s="4"/>
      <c r="AH206" s="4"/>
      <c r="AI206" s="4"/>
      <c r="AJ206" s="4"/>
      <c r="AK206" s="4"/>
    </row>
    <row r="207" spans="1:55" s="1" customFormat="1" x14ac:dyDescent="0.4">
      <c r="A207" s="9" t="str">
        <f t="shared" si="46"/>
        <v>Cliente 8</v>
      </c>
      <c r="B207" s="10"/>
      <c r="C207" s="10"/>
      <c r="D207" s="10"/>
      <c r="E207" s="10"/>
      <c r="F207" s="10"/>
      <c r="G207" s="10"/>
      <c r="H207" s="25"/>
      <c r="I207" s="25"/>
      <c r="J207" s="25"/>
      <c r="K207" s="26"/>
      <c r="L207" s="5"/>
      <c r="M207" s="26"/>
      <c r="N207" s="8"/>
      <c r="O207" s="26"/>
      <c r="P207" s="4"/>
      <c r="Q207" s="4"/>
      <c r="R207" s="4"/>
      <c r="AF207" s="4"/>
      <c r="AG207" s="4"/>
      <c r="AH207" s="4"/>
      <c r="AI207" s="4"/>
      <c r="AJ207" s="4"/>
      <c r="AK207" s="4"/>
    </row>
    <row r="208" spans="1:55" s="1" customFormat="1" x14ac:dyDescent="0.4">
      <c r="A208" s="9" t="str">
        <f t="shared" si="46"/>
        <v>Cliente 9</v>
      </c>
      <c r="B208" s="10"/>
      <c r="C208" s="10"/>
      <c r="D208" s="4"/>
      <c r="E208" s="4"/>
      <c r="F208" s="10"/>
      <c r="G208" s="10"/>
      <c r="H208" s="10"/>
      <c r="I208" s="10"/>
      <c r="J208" s="25"/>
      <c r="K208" s="26"/>
      <c r="L208" s="26"/>
      <c r="M208" s="24"/>
      <c r="N208" s="8"/>
      <c r="O208" s="8"/>
      <c r="P208" s="4"/>
      <c r="Q208" s="4"/>
      <c r="R208" s="4"/>
      <c r="V208" s="4"/>
      <c r="AF208" s="4"/>
      <c r="AG208" s="4"/>
      <c r="AH208" s="4"/>
      <c r="AI208" s="4"/>
      <c r="AJ208" s="4"/>
      <c r="AK208" s="4"/>
    </row>
    <row r="209" spans="1:43" s="1" customFormat="1" x14ac:dyDescent="0.4">
      <c r="A209" s="9" t="str">
        <f t="shared" si="46"/>
        <v>Cliente 10</v>
      </c>
      <c r="B209" s="9"/>
      <c r="C209" s="10"/>
      <c r="D209" s="4"/>
      <c r="E209" s="4"/>
      <c r="F209" s="10"/>
      <c r="G209" s="10"/>
      <c r="H209" s="10"/>
      <c r="I209" s="25"/>
      <c r="J209" s="25"/>
      <c r="K209" s="26"/>
      <c r="L209" s="26"/>
      <c r="M209" s="26"/>
      <c r="N209" s="8"/>
      <c r="O209" s="8"/>
      <c r="P209" s="4"/>
      <c r="Q209" s="4"/>
      <c r="R209" s="4"/>
      <c r="T209" s="8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43" s="1" customFormat="1" x14ac:dyDescent="0.4">
      <c r="A210" s="9" t="str">
        <f t="shared" si="46"/>
        <v>Cliente 11</v>
      </c>
      <c r="B210" s="9"/>
      <c r="C210" s="10"/>
      <c r="D210" s="10"/>
      <c r="E210" s="10"/>
      <c r="F210" s="10"/>
      <c r="G210" s="10"/>
      <c r="H210" s="25"/>
      <c r="I210" s="25"/>
      <c r="J210" s="25"/>
      <c r="K210" s="26"/>
      <c r="L210" s="26"/>
      <c r="M210" s="24"/>
      <c r="N210" s="8"/>
      <c r="O210" s="8"/>
      <c r="P210" s="4"/>
      <c r="Q210" s="4"/>
      <c r="R210" s="4"/>
      <c r="AF210" s="4"/>
      <c r="AG210" s="4"/>
      <c r="AH210" s="4"/>
      <c r="AI210" s="4"/>
      <c r="AJ210" s="4"/>
      <c r="AK210" s="4"/>
    </row>
    <row r="211" spans="1:43" s="1" customFormat="1" x14ac:dyDescent="0.4">
      <c r="A211" s="9" t="str">
        <f t="shared" si="46"/>
        <v>Cliente 12</v>
      </c>
      <c r="B211" s="9"/>
      <c r="C211" s="10"/>
      <c r="D211" s="10"/>
      <c r="E211" s="10"/>
      <c r="F211" s="10"/>
      <c r="G211" s="10"/>
      <c r="H211" s="25"/>
      <c r="I211" s="25"/>
      <c r="J211" s="25"/>
      <c r="K211" s="26"/>
      <c r="L211" s="26"/>
      <c r="M211" s="24"/>
      <c r="N211" s="26"/>
      <c r="O211" s="8"/>
      <c r="P211" s="4"/>
      <c r="Q211" s="4"/>
      <c r="R211" s="4"/>
      <c r="S211" s="4"/>
      <c r="AF211" s="4"/>
      <c r="AG211" s="4"/>
      <c r="AH211" s="4"/>
      <c r="AI211" s="4"/>
      <c r="AJ211" s="4"/>
      <c r="AK211" s="4"/>
    </row>
    <row r="212" spans="1:43" s="1" customFormat="1" x14ac:dyDescent="0.4">
      <c r="A212" s="9" t="str">
        <f t="shared" si="46"/>
        <v>Cliente 13</v>
      </c>
      <c r="B212" s="9"/>
      <c r="C212" s="10"/>
      <c r="D212" s="10"/>
      <c r="E212" s="10"/>
      <c r="F212" s="10"/>
      <c r="G212" s="10"/>
      <c r="H212" s="25"/>
      <c r="I212" s="25"/>
      <c r="J212" s="25"/>
      <c r="K212" s="26"/>
      <c r="L212" s="26"/>
      <c r="M212" s="24"/>
      <c r="N212" s="8"/>
      <c r="O212" s="8"/>
      <c r="P212" s="4"/>
      <c r="Q212" s="4"/>
      <c r="R212" s="4"/>
      <c r="AA212" s="4"/>
      <c r="AF212" s="4"/>
      <c r="AG212" s="4"/>
      <c r="AH212" s="4"/>
      <c r="AI212" s="4"/>
      <c r="AJ212" s="4"/>
      <c r="AK212" s="4"/>
    </row>
    <row r="213" spans="1:43" s="1" customFormat="1" x14ac:dyDescent="0.4">
      <c r="A213" s="9" t="str">
        <f t="shared" si="46"/>
        <v>Cliente 14</v>
      </c>
      <c r="B213" s="9"/>
      <c r="C213" s="10"/>
      <c r="D213" s="10"/>
      <c r="E213" s="10"/>
      <c r="F213" s="10"/>
      <c r="G213" s="10"/>
      <c r="H213" s="25"/>
      <c r="I213" s="25"/>
      <c r="J213" s="25"/>
      <c r="K213" s="26"/>
      <c r="L213" s="26"/>
      <c r="M213" s="26"/>
      <c r="N213" s="26"/>
      <c r="O213" s="8"/>
      <c r="P213" s="4"/>
      <c r="Q213" s="4"/>
      <c r="R213" s="4"/>
      <c r="T213" s="4"/>
      <c r="AF213" s="4"/>
      <c r="AG213" s="4"/>
      <c r="AH213" s="4"/>
      <c r="AI213" s="4"/>
      <c r="AJ213" s="4"/>
      <c r="AK213" s="4"/>
    </row>
    <row r="214" spans="1:43" s="1" customFormat="1" x14ac:dyDescent="0.4">
      <c r="A214" s="9" t="str">
        <f t="shared" si="46"/>
        <v>Cliente 15</v>
      </c>
      <c r="B214" s="9"/>
      <c r="C214" s="10"/>
      <c r="D214" s="10"/>
      <c r="E214" s="10"/>
      <c r="F214" s="10"/>
      <c r="G214" s="10"/>
      <c r="H214" s="25"/>
      <c r="I214" s="25"/>
      <c r="J214" s="25"/>
      <c r="K214" s="26"/>
      <c r="L214" s="5"/>
      <c r="M214" s="26"/>
      <c r="N214" s="26"/>
      <c r="O214" s="8"/>
      <c r="P214" s="4"/>
      <c r="Q214" s="4"/>
      <c r="R214" s="4"/>
      <c r="AF214" s="4"/>
      <c r="AG214" s="4"/>
      <c r="AH214" s="4"/>
      <c r="AI214" s="4"/>
      <c r="AJ214" s="4"/>
      <c r="AK214" s="4"/>
    </row>
    <row r="215" spans="1:43" s="1" customFormat="1" x14ac:dyDescent="0.4">
      <c r="A215" s="9" t="str">
        <f t="shared" si="46"/>
        <v>Cliente 16</v>
      </c>
      <c r="B215" s="9"/>
      <c r="C215" s="10"/>
      <c r="D215" s="10"/>
      <c r="E215" s="10"/>
      <c r="F215" s="10"/>
      <c r="G215" s="10"/>
      <c r="H215" s="11"/>
      <c r="I215" s="11"/>
      <c r="J215" s="11"/>
      <c r="K215" s="11"/>
      <c r="L215" s="11"/>
      <c r="M215" s="11"/>
      <c r="O215" s="4"/>
      <c r="P215" s="4"/>
      <c r="Q215" s="4"/>
      <c r="R215" s="4"/>
      <c r="AF215" s="4"/>
      <c r="AG215" s="4"/>
      <c r="AH215" s="4"/>
      <c r="AI215" s="4"/>
      <c r="AJ215" s="4"/>
      <c r="AK215" s="4"/>
    </row>
    <row r="216" spans="1:43" s="1" customFormat="1" x14ac:dyDescent="0.4">
      <c r="A216" s="9" t="str">
        <f t="shared" si="46"/>
        <v>Cliente 17</v>
      </c>
      <c r="B216" s="9"/>
      <c r="C216" s="10"/>
      <c r="D216" s="10"/>
      <c r="E216" s="10"/>
      <c r="F216" s="10"/>
      <c r="G216" s="10"/>
      <c r="H216" s="11"/>
      <c r="I216" s="11"/>
      <c r="J216" s="11"/>
      <c r="K216" s="11"/>
      <c r="L216" s="11"/>
      <c r="M216" s="11"/>
      <c r="O216" s="4"/>
      <c r="P216" s="4"/>
      <c r="Q216" s="4"/>
      <c r="R216" s="4"/>
      <c r="AF216" s="4"/>
      <c r="AG216" s="4"/>
      <c r="AH216" s="4"/>
      <c r="AI216" s="4"/>
      <c r="AJ216" s="4"/>
      <c r="AK216" s="4"/>
    </row>
    <row r="217" spans="1:43" s="1" customFormat="1" x14ac:dyDescent="0.4">
      <c r="A217" s="9" t="str">
        <f t="shared" si="46"/>
        <v>Cliente 18</v>
      </c>
      <c r="B217" s="9"/>
      <c r="C217" s="10"/>
      <c r="D217" s="10"/>
      <c r="E217" s="10"/>
      <c r="F217" s="10"/>
      <c r="G217" s="10"/>
      <c r="H217" s="11"/>
      <c r="I217" s="11"/>
      <c r="J217" s="11"/>
      <c r="K217" s="11"/>
      <c r="L217" s="11"/>
      <c r="M217" s="11"/>
      <c r="O217" s="4"/>
      <c r="P217" s="4"/>
      <c r="Q217" s="4"/>
      <c r="R217" s="4"/>
      <c r="AA217" s="4"/>
      <c r="AB217" s="4"/>
      <c r="AF217" s="4"/>
      <c r="AG217" s="4"/>
      <c r="AH217" s="4"/>
      <c r="AI217" s="4"/>
      <c r="AJ217" s="4"/>
      <c r="AK217" s="4"/>
    </row>
    <row r="218" spans="1:43" s="1" customFormat="1" x14ac:dyDescent="0.4">
      <c r="A218" s="9" t="str">
        <f t="shared" si="46"/>
        <v>Cliente 19</v>
      </c>
      <c r="B218" s="9"/>
      <c r="C218" s="10"/>
      <c r="D218" s="10"/>
      <c r="E218" s="10"/>
      <c r="F218" s="10"/>
      <c r="G218" s="10"/>
      <c r="H218" s="11"/>
      <c r="I218" s="11"/>
      <c r="J218" s="11"/>
      <c r="K218" s="11"/>
      <c r="L218" s="11"/>
      <c r="M218" s="11"/>
      <c r="O218" s="4"/>
      <c r="P218" s="4"/>
      <c r="Q218" s="4"/>
      <c r="R218" s="4"/>
      <c r="AF218" s="4"/>
      <c r="AG218" s="4"/>
      <c r="AH218" s="4"/>
      <c r="AI218" s="4"/>
      <c r="AJ218" s="4"/>
      <c r="AK218" s="4"/>
    </row>
    <row r="219" spans="1:43" s="1" customFormat="1" x14ac:dyDescent="0.4">
      <c r="A219" s="9" t="str">
        <f t="shared" si="46"/>
        <v>Cliente 20</v>
      </c>
      <c r="B219" s="9"/>
      <c r="C219" s="10"/>
      <c r="D219" s="10"/>
      <c r="E219" s="10"/>
      <c r="F219" s="10"/>
      <c r="G219" s="10"/>
      <c r="H219" s="11"/>
      <c r="I219" s="11"/>
      <c r="J219" s="11"/>
      <c r="K219" s="11"/>
      <c r="L219" s="11"/>
      <c r="M219" s="11"/>
      <c r="O219" s="4"/>
      <c r="P219" s="4"/>
      <c r="Q219" s="4"/>
      <c r="R219" s="4"/>
      <c r="AF219" s="4"/>
      <c r="AG219" s="4"/>
      <c r="AH219" s="4"/>
      <c r="AI219" s="4"/>
      <c r="AJ219" s="4"/>
      <c r="AK219" s="4"/>
    </row>
    <row r="220" spans="1:43" s="1" customFormat="1" x14ac:dyDescent="0.4">
      <c r="A220" s="9" t="str">
        <f t="shared" si="46"/>
        <v>Cliente 21</v>
      </c>
      <c r="B220" s="9"/>
      <c r="C220" s="10"/>
      <c r="D220" s="10"/>
      <c r="E220" s="10"/>
      <c r="F220" s="10"/>
      <c r="G220" s="10"/>
      <c r="H220" s="11"/>
      <c r="I220" s="11"/>
      <c r="J220" s="11"/>
      <c r="K220" s="11"/>
      <c r="L220" s="11"/>
      <c r="M220" s="11"/>
      <c r="O220" s="4"/>
      <c r="P220" s="4"/>
      <c r="Q220" s="4"/>
      <c r="R220" s="4"/>
      <c r="AF220" s="4"/>
      <c r="AG220" s="4"/>
      <c r="AH220" s="4"/>
      <c r="AI220" s="4"/>
      <c r="AJ220" s="4"/>
      <c r="AK220" s="4"/>
    </row>
    <row r="221" spans="1:43" s="1" customFormat="1" x14ac:dyDescent="0.4">
      <c r="A221" s="9" t="str">
        <f t="shared" si="46"/>
        <v>Cliente 22</v>
      </c>
      <c r="B221" s="9"/>
      <c r="C221" s="10"/>
      <c r="D221" s="10"/>
      <c r="E221" s="10"/>
      <c r="F221" s="10"/>
      <c r="G221" s="10"/>
      <c r="H221" s="11"/>
      <c r="I221" s="11"/>
      <c r="J221" s="11"/>
      <c r="K221" s="11"/>
      <c r="L221" s="11"/>
      <c r="M221" s="11"/>
      <c r="O221" s="4"/>
      <c r="P221" s="4"/>
      <c r="Q221" s="4"/>
      <c r="R221" s="4"/>
      <c r="AE221" s="4"/>
      <c r="AF221" s="4"/>
      <c r="AG221" s="4"/>
      <c r="AH221" s="4"/>
      <c r="AI221" s="4"/>
      <c r="AJ221" s="4"/>
      <c r="AK221" s="4"/>
    </row>
    <row r="222" spans="1:43" s="1" customFormat="1" x14ac:dyDescent="0.4">
      <c r="A222" s="9" t="str">
        <f t="shared" si="46"/>
        <v>Cliente 23</v>
      </c>
      <c r="B222" s="9"/>
      <c r="C222" s="10"/>
      <c r="D222" s="10"/>
      <c r="E222" s="10"/>
      <c r="F222" s="10"/>
      <c r="G222" s="10"/>
      <c r="H222" s="11"/>
      <c r="I222" s="11"/>
      <c r="J222" s="11"/>
      <c r="K222" s="11"/>
      <c r="L222" s="11"/>
      <c r="M222" s="11"/>
      <c r="O222" s="4"/>
      <c r="P222" s="4"/>
      <c r="Q222" s="4"/>
      <c r="R222" s="4"/>
      <c r="AE222" s="4"/>
      <c r="AF222" s="4"/>
      <c r="AG222" s="4"/>
      <c r="AH222" s="4"/>
      <c r="AI222" s="4"/>
      <c r="AJ222" s="4"/>
      <c r="AK222" s="4"/>
    </row>
    <row r="223" spans="1:43" s="18" customFormat="1" x14ac:dyDescent="0.4">
      <c r="A223" s="17" t="s">
        <v>45</v>
      </c>
      <c r="B223" s="1">
        <f t="shared" ref="B223:J223" si="49">SUM(B200:B215)</f>
        <v>0</v>
      </c>
      <c r="C223" s="1">
        <f t="shared" si="49"/>
        <v>0</v>
      </c>
      <c r="D223" s="1">
        <f t="shared" si="49"/>
        <v>0</v>
      </c>
      <c r="E223" s="1">
        <f t="shared" si="49"/>
        <v>0</v>
      </c>
      <c r="F223" s="1">
        <f>SUM(F200:F215)</f>
        <v>0</v>
      </c>
      <c r="G223" s="1">
        <f t="shared" si="49"/>
        <v>0</v>
      </c>
      <c r="H223" s="1">
        <f t="shared" si="49"/>
        <v>0</v>
      </c>
      <c r="I223" s="1">
        <f t="shared" si="49"/>
        <v>0</v>
      </c>
      <c r="J223" s="1">
        <f t="shared" si="49"/>
        <v>0</v>
      </c>
      <c r="K223" s="1">
        <f>SUM(K200:K216)</f>
        <v>0</v>
      </c>
      <c r="L223" s="1">
        <f t="shared" ref="L223:U223" si="50">SUM(L200:L216)</f>
        <v>0</v>
      </c>
      <c r="M223" s="1">
        <f t="shared" si="50"/>
        <v>0</v>
      </c>
      <c r="N223" s="1">
        <f t="shared" si="50"/>
        <v>0</v>
      </c>
      <c r="O223" s="1">
        <f t="shared" si="50"/>
        <v>0</v>
      </c>
      <c r="P223" s="1">
        <f t="shared" si="50"/>
        <v>0</v>
      </c>
      <c r="Q223" s="1">
        <f t="shared" si="50"/>
        <v>0</v>
      </c>
      <c r="R223" s="1">
        <f t="shared" si="50"/>
        <v>0</v>
      </c>
      <c r="S223" s="1">
        <f t="shared" si="50"/>
        <v>0</v>
      </c>
      <c r="T223" s="1">
        <f t="shared" si="50"/>
        <v>0</v>
      </c>
      <c r="U223" s="1">
        <f t="shared" si="50"/>
        <v>0</v>
      </c>
      <c r="V223" s="1">
        <f t="shared" ref="V223:AA223" si="51">SUM(V200:V220)</f>
        <v>0</v>
      </c>
      <c r="W223" s="1">
        <f t="shared" si="51"/>
        <v>0</v>
      </c>
      <c r="X223" s="1">
        <f t="shared" si="51"/>
        <v>0</v>
      </c>
      <c r="Y223" s="1">
        <f t="shared" si="51"/>
        <v>0</v>
      </c>
      <c r="Z223" s="1">
        <f t="shared" si="51"/>
        <v>0</v>
      </c>
      <c r="AA223" s="1">
        <f t="shared" si="51"/>
        <v>0</v>
      </c>
      <c r="AB223" s="1">
        <f t="shared" ref="AB223:AP223" si="52">SUM(AB200:AB222)</f>
        <v>0</v>
      </c>
      <c r="AC223" s="1">
        <f t="shared" si="52"/>
        <v>0</v>
      </c>
      <c r="AD223" s="1">
        <f t="shared" si="52"/>
        <v>0</v>
      </c>
      <c r="AE223" s="1">
        <f t="shared" si="52"/>
        <v>0</v>
      </c>
      <c r="AF223" s="1">
        <f t="shared" si="52"/>
        <v>0</v>
      </c>
      <c r="AG223" s="1">
        <f t="shared" si="52"/>
        <v>0</v>
      </c>
      <c r="AH223" s="1">
        <f t="shared" si="52"/>
        <v>0</v>
      </c>
      <c r="AI223" s="1">
        <f t="shared" si="52"/>
        <v>0</v>
      </c>
      <c r="AJ223" s="1">
        <f t="shared" si="52"/>
        <v>0</v>
      </c>
      <c r="AK223" s="1">
        <f t="shared" si="52"/>
        <v>0</v>
      </c>
      <c r="AL223" s="1">
        <f t="shared" si="52"/>
        <v>61000</v>
      </c>
      <c r="AM223" s="1">
        <f t="shared" si="52"/>
        <v>125000</v>
      </c>
      <c r="AN223" s="1">
        <f t="shared" si="52"/>
        <v>136500</v>
      </c>
      <c r="AO223" s="1">
        <f t="shared" si="52"/>
        <v>93000</v>
      </c>
      <c r="AP223" s="1">
        <f t="shared" si="52"/>
        <v>44000</v>
      </c>
      <c r="AQ223" s="1"/>
    </row>
  </sheetData>
  <phoneticPr fontId="13" type="noConversion"/>
  <printOptions gridLines="1"/>
  <pageMargins left="0.43307086614173229" right="0.35433070866141736" top="0.59055118110236227" bottom="0.6692913385826772" header="0.23" footer="0.51181102362204722"/>
  <pageSetup paperSize="9" scale="95" orientation="landscape" horizontalDpi="4294967294" verticalDpi="30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213"/>
  <sheetViews>
    <sheetView tabSelected="1" zoomScale="110" zoomScaleNormal="110" zoomScaleSheetLayoutView="100" workbookViewId="0">
      <pane xSplit="1" ySplit="3" topLeftCell="B4" activePane="bottomRight" state="frozen"/>
      <selection activeCell="AL54" sqref="AL54:AN54"/>
      <selection pane="topRight" activeCell="AL54" sqref="AL54:AN54"/>
      <selection pane="bottomLeft" activeCell="AL54" sqref="AL54:AN54"/>
      <selection pane="bottomRight" activeCell="B8" sqref="B8"/>
    </sheetView>
  </sheetViews>
  <sheetFormatPr defaultColWidth="9.109375" defaultRowHeight="12.3" x14ac:dyDescent="0.4"/>
  <cols>
    <col min="1" max="1" width="43" style="4" customWidth="1"/>
    <col min="2" max="2" width="12.5" style="4" customWidth="1"/>
    <col min="3" max="3" width="13.88671875" style="4" bestFit="1" customWidth="1"/>
    <col min="4" max="5" width="12.94140625" style="4" bestFit="1" customWidth="1"/>
    <col min="6" max="9" width="14.38671875" style="4" bestFit="1" customWidth="1"/>
    <col min="10" max="10" width="12.94140625" style="8" bestFit="1" customWidth="1"/>
    <col min="11" max="87" width="9.109375" style="8"/>
    <col min="88" max="16384" width="9.109375" style="4"/>
  </cols>
  <sheetData>
    <row r="1" spans="1:9" s="56" customFormat="1" ht="17.7" x14ac:dyDescent="0.6">
      <c r="A1" s="56" t="s">
        <v>95</v>
      </c>
    </row>
    <row r="2" spans="1:9" s="58" customFormat="1" ht="11.25" customHeight="1" x14ac:dyDescent="0.4">
      <c r="A2" s="57" t="s">
        <v>0</v>
      </c>
      <c r="B2" s="59" t="s">
        <v>48</v>
      </c>
      <c r="C2" s="59" t="s">
        <v>48</v>
      </c>
    </row>
    <row r="3" spans="1:9" s="61" customFormat="1" ht="13.5" customHeight="1" x14ac:dyDescent="0.5">
      <c r="A3" s="60">
        <v>2019</v>
      </c>
      <c r="B3" s="61">
        <v>9</v>
      </c>
      <c r="C3" s="61">
        <v>10</v>
      </c>
      <c r="D3" s="61">
        <v>11</v>
      </c>
      <c r="E3" s="61">
        <v>12</v>
      </c>
      <c r="F3" s="61">
        <v>1</v>
      </c>
      <c r="G3" s="61">
        <v>2</v>
      </c>
      <c r="H3" s="61">
        <v>3</v>
      </c>
      <c r="I3" s="61">
        <v>4</v>
      </c>
    </row>
    <row r="4" spans="1:9" s="63" customFormat="1" x14ac:dyDescent="0.4">
      <c r="A4" s="62"/>
    </row>
    <row r="5" spans="1:9" s="58" customFormat="1" x14ac:dyDescent="0.4">
      <c r="A5" s="58" t="s">
        <v>54</v>
      </c>
    </row>
    <row r="6" spans="1:9" s="58" customFormat="1" x14ac:dyDescent="0.4">
      <c r="A6" s="64" t="s">
        <v>100</v>
      </c>
      <c r="B6" s="65">
        <f>+'Dettaglio RIBANov19'!AE26</f>
        <v>86506.81</v>
      </c>
      <c r="C6" s="65">
        <f>+'Dettaglio RIBANov19'!AF26</f>
        <v>35992.800000000003</v>
      </c>
      <c r="D6" s="65">
        <f>+'Dettaglio RIBANov19'!AG26</f>
        <v>118627.63</v>
      </c>
      <c r="E6" s="65">
        <f>+'Dettaglio RIBANov19'!AH26</f>
        <v>297548.83333333331</v>
      </c>
      <c r="F6" s="65">
        <f>+'Dettaglio RIBANov19'!AI26</f>
        <v>148617.60000000001</v>
      </c>
      <c r="G6" s="65">
        <f>+'Dettaglio RIBANov19'!AJ26</f>
        <v>47190</v>
      </c>
      <c r="H6" s="65">
        <f>+'Dettaglio RIBANov19'!AK26</f>
        <v>0</v>
      </c>
      <c r="I6" s="65">
        <f>+'Dettaglio RIBANov19'!AL26</f>
        <v>0</v>
      </c>
    </row>
    <row r="7" spans="1:9" s="58" customFormat="1" x14ac:dyDescent="0.4">
      <c r="A7" s="64" t="s">
        <v>99</v>
      </c>
      <c r="B7" s="65">
        <f>+'Dettaglio RIBANov19'!AE83</f>
        <v>115773.20999999999</v>
      </c>
      <c r="C7" s="65">
        <f>+'Dettaglio RIBANov19'!AF83</f>
        <v>48122.12</v>
      </c>
      <c r="D7" s="65">
        <f>+'Dettaglio RIBANov19'!AG83</f>
        <v>0</v>
      </c>
      <c r="E7" s="65">
        <f>+'Dettaglio RIBANov19'!AH83</f>
        <v>0</v>
      </c>
      <c r="F7" s="65">
        <f>+'Dettaglio RIBANov19'!AI83</f>
        <v>0</v>
      </c>
      <c r="G7" s="65">
        <f>+'Dettaglio RIBANov19'!AJ83</f>
        <v>0</v>
      </c>
      <c r="H7" s="65">
        <f>+'Dettaglio RIBANov19'!AK83</f>
        <v>0</v>
      </c>
      <c r="I7" s="65">
        <f>+'Dettaglio RIBANov19'!AL83</f>
        <v>0</v>
      </c>
    </row>
    <row r="8" spans="1:9" s="58" customFormat="1" x14ac:dyDescent="0.4">
      <c r="A8" s="64" t="s">
        <v>62</v>
      </c>
      <c r="B8" s="65">
        <f>+'Dettaglio RIBANov19'!AE139</f>
        <v>0</v>
      </c>
      <c r="C8" s="65">
        <f>+'Dettaglio RIBANov19'!AF139</f>
        <v>68894.209999999992</v>
      </c>
      <c r="D8" s="65">
        <f>+'Dettaglio RIBANov19'!AG139</f>
        <v>0</v>
      </c>
      <c r="E8" s="65">
        <f>+'Dettaglio RIBANov19'!AH139</f>
        <v>0</v>
      </c>
      <c r="F8" s="65">
        <f>+'Dettaglio RIBANov19'!AI139</f>
        <v>0</v>
      </c>
      <c r="G8" s="65">
        <f>+'Dettaglio RIBANov19'!AJ139</f>
        <v>0</v>
      </c>
      <c r="H8" s="65">
        <f>+'Dettaglio RIBANov19'!AK139</f>
        <v>0</v>
      </c>
      <c r="I8" s="65">
        <f>+'Dettaglio RIBANov19'!AL139</f>
        <v>0</v>
      </c>
    </row>
    <row r="9" spans="1:9" s="58" customFormat="1" x14ac:dyDescent="0.4">
      <c r="A9" s="66" t="s">
        <v>69</v>
      </c>
      <c r="B9" s="67"/>
      <c r="C9" s="67"/>
      <c r="D9" s="65">
        <f>+'Dettaglio RIBANov19'!AG195</f>
        <v>0</v>
      </c>
      <c r="E9" s="65">
        <f>+'Dettaglio RIBANov19'!AH195</f>
        <v>0</v>
      </c>
      <c r="F9" s="65">
        <f>+'Dettaglio RIBANov19'!AI195</f>
        <v>0</v>
      </c>
      <c r="G9" s="65">
        <f>+'Dettaglio RIBANov19'!AJ195</f>
        <v>116000</v>
      </c>
      <c r="H9" s="65">
        <f>+'Dettaglio RIBANov19'!AK195</f>
        <v>163000</v>
      </c>
      <c r="I9" s="65">
        <f>+'Dettaglio RIBANov19'!AL195</f>
        <v>180500</v>
      </c>
    </row>
    <row r="10" spans="1:9" s="58" customFormat="1" x14ac:dyDescent="0.4">
      <c r="A10" s="66"/>
    </row>
    <row r="11" spans="1:9" s="57" customFormat="1" x14ac:dyDescent="0.4">
      <c r="A11" s="68" t="s">
        <v>55</v>
      </c>
      <c r="B11" s="69">
        <f t="shared" ref="B11:F11" si="0">SUM(B6:B10)</f>
        <v>202280.02</v>
      </c>
      <c r="C11" s="69">
        <f t="shared" si="0"/>
        <v>153009.13</v>
      </c>
      <c r="D11" s="69">
        <f>SUM(D6:D10)</f>
        <v>118627.63</v>
      </c>
      <c r="E11" s="69">
        <f>SUM(E6:E10)</f>
        <v>297548.83333333331</v>
      </c>
      <c r="F11" s="69">
        <f t="shared" si="0"/>
        <v>148617.60000000001</v>
      </c>
      <c r="G11" s="69">
        <f t="shared" ref="G11:I11" si="1">SUM(G6:G10)</f>
        <v>163190</v>
      </c>
      <c r="H11" s="69">
        <f t="shared" si="1"/>
        <v>163000</v>
      </c>
      <c r="I11" s="69">
        <f t="shared" si="1"/>
        <v>180500</v>
      </c>
    </row>
    <row r="12" spans="1:9" s="58" customFormat="1" x14ac:dyDescent="0.4">
      <c r="A12" s="70"/>
    </row>
    <row r="13" spans="1:9" s="72" customFormat="1" x14ac:dyDescent="0.4">
      <c r="A13" s="71" t="s">
        <v>46</v>
      </c>
    </row>
    <row r="14" spans="1:9" s="72" customFormat="1" x14ac:dyDescent="0.4">
      <c r="A14" s="64" t="s">
        <v>100</v>
      </c>
      <c r="B14" s="72">
        <f>+'Dettaglio RIBANov19'!AE54</f>
        <v>92408.94</v>
      </c>
      <c r="C14" s="72">
        <f>+'Dettaglio RIBANov19'!AF54</f>
        <v>61446.84</v>
      </c>
      <c r="D14" s="72">
        <f>+'Dettaglio RIBANov19'!AG54</f>
        <v>8822</v>
      </c>
      <c r="E14" s="72">
        <f>+'Dettaglio RIBANov19'!AH54</f>
        <v>82866.509999999995</v>
      </c>
      <c r="F14" s="72">
        <f>+'Dettaglio RIBANov19'!AI54</f>
        <v>135470.54999999999</v>
      </c>
      <c r="G14" s="72">
        <f>+'Dettaglio RIBANov19'!AJ54</f>
        <v>58452.4</v>
      </c>
      <c r="H14" s="72">
        <f>+'Dettaglio RIBANov19'!AK54</f>
        <v>170820.56333333335</v>
      </c>
      <c r="I14" s="72">
        <f>+'Dettaglio RIBANov19'!AL54</f>
        <v>304353.59999999998</v>
      </c>
    </row>
    <row r="15" spans="1:9" s="72" customFormat="1" x14ac:dyDescent="0.4">
      <c r="A15" s="64" t="s">
        <v>99</v>
      </c>
      <c r="B15" s="72">
        <f>+'Dettaglio RIBANov19'!AE111</f>
        <v>47184.78</v>
      </c>
      <c r="C15" s="72">
        <f>+'Dettaglio RIBANov19'!AF111</f>
        <v>84693.35</v>
      </c>
      <c r="D15" s="72">
        <f>+'Dettaglio RIBANov19'!AG111</f>
        <v>74750.33</v>
      </c>
      <c r="E15" s="72">
        <f>+'Dettaglio RIBANov19'!AH111</f>
        <v>37601.26</v>
      </c>
      <c r="F15" s="72">
        <f>+'Dettaglio RIBANov19'!AI111</f>
        <v>15353.12</v>
      </c>
      <c r="G15" s="72">
        <f>+'Dettaglio RIBANov19'!AJ111</f>
        <v>107491.48</v>
      </c>
      <c r="H15" s="72">
        <f>+'Dettaglio RIBANov19'!AK111</f>
        <v>15424.5</v>
      </c>
      <c r="I15" s="72">
        <f>+'Dettaglio RIBANov19'!AL111</f>
        <v>0</v>
      </c>
    </row>
    <row r="16" spans="1:9" s="72" customFormat="1" x14ac:dyDescent="0.4">
      <c r="A16" s="64" t="s">
        <v>62</v>
      </c>
      <c r="B16" s="65">
        <f>+'Dettaglio RIBANov19'!AE167</f>
        <v>25592.940000000002</v>
      </c>
      <c r="C16" s="65">
        <f>+'Dettaglio RIBANov19'!AF167</f>
        <v>51341.100000000006</v>
      </c>
      <c r="D16" s="65">
        <f>+'Dettaglio RIBANov19'!AG167</f>
        <v>10803.74</v>
      </c>
      <c r="E16" s="65">
        <f>+'Dettaglio RIBANov19'!AH167</f>
        <v>106666.94</v>
      </c>
      <c r="F16" s="65">
        <f>+'Dettaglio RIBANov19'!AI167</f>
        <v>12951.86</v>
      </c>
      <c r="G16" s="65">
        <f>+'Dettaglio RIBANov19'!AJ167</f>
        <v>10761.48</v>
      </c>
      <c r="H16" s="65">
        <f>+'Dettaglio RIBANov19'!AK167</f>
        <v>17974.09</v>
      </c>
      <c r="I16" s="65">
        <f>+'Dettaglio RIBANov19'!AL167</f>
        <v>0</v>
      </c>
    </row>
    <row r="17" spans="1:9" s="72" customFormat="1" x14ac:dyDescent="0.4">
      <c r="A17" s="66" t="s">
        <v>69</v>
      </c>
      <c r="D17" s="65">
        <f>+'Dettaglio RIBANov19'!AG223</f>
        <v>0</v>
      </c>
      <c r="E17" s="65">
        <f>+'Dettaglio RIBANov19'!AH223</f>
        <v>0</v>
      </c>
      <c r="F17" s="65">
        <f>+'Dettaglio RIBANov19'!AI223</f>
        <v>0</v>
      </c>
      <c r="G17" s="65">
        <f>+'Dettaglio RIBANov19'!AJ223</f>
        <v>0</v>
      </c>
      <c r="H17" s="65">
        <f>+'Dettaglio RIBANov19'!AK223</f>
        <v>0</v>
      </c>
      <c r="I17" s="65">
        <f>+'Dettaglio RIBANov19'!AL223</f>
        <v>61000</v>
      </c>
    </row>
    <row r="18" spans="1:9" s="72" customFormat="1" x14ac:dyDescent="0.4">
      <c r="A18" s="73"/>
    </row>
    <row r="19" spans="1:9" s="79" customFormat="1" x14ac:dyDescent="0.4">
      <c r="A19" s="77" t="s">
        <v>47</v>
      </c>
      <c r="B19" s="78">
        <f t="shared" ref="B19:C19" si="2">SUM(B14:B16)</f>
        <v>165186.66</v>
      </c>
      <c r="C19" s="78">
        <f t="shared" si="2"/>
        <v>197481.29</v>
      </c>
      <c r="D19" s="78">
        <f>SUM(D14:D18)</f>
        <v>94376.07</v>
      </c>
      <c r="E19" s="78">
        <f>SUM(E14:E18)</f>
        <v>227134.71</v>
      </c>
      <c r="F19" s="78">
        <f>SUM(F14:F18)</f>
        <v>163775.52999999997</v>
      </c>
      <c r="G19" s="78">
        <f t="shared" ref="G19:I19" si="3">SUM(G14:G18)</f>
        <v>176705.36000000002</v>
      </c>
      <c r="H19" s="78">
        <f t="shared" si="3"/>
        <v>204219.15333333335</v>
      </c>
      <c r="I19" s="78">
        <f t="shared" si="3"/>
        <v>365353.6</v>
      </c>
    </row>
    <row r="20" spans="1:9" s="58" customFormat="1" x14ac:dyDescent="0.4">
      <c r="A20" s="71"/>
    </row>
    <row r="21" spans="1:9" s="58" customFormat="1" x14ac:dyDescent="0.4">
      <c r="A21" s="74" t="s">
        <v>1</v>
      </c>
    </row>
    <row r="22" spans="1:9" s="72" customFormat="1" x14ac:dyDescent="0.4">
      <c r="A22" s="66" t="s">
        <v>26</v>
      </c>
      <c r="B22" s="72">
        <f>30000+26208.86-21599.5</f>
        <v>34609.360000000001</v>
      </c>
    </row>
    <row r="23" spans="1:9" s="72" customFormat="1" x14ac:dyDescent="0.4">
      <c r="A23" s="66" t="s">
        <v>37</v>
      </c>
      <c r="B23" s="72">
        <v>25776</v>
      </c>
      <c r="D23" s="72">
        <v>36720</v>
      </c>
      <c r="E23" s="72">
        <v>3450</v>
      </c>
      <c r="H23" s="72">
        <v>25000</v>
      </c>
    </row>
    <row r="24" spans="1:9" s="72" customFormat="1" x14ac:dyDescent="0.4">
      <c r="A24" s="66" t="s">
        <v>50</v>
      </c>
    </row>
    <row r="25" spans="1:9" s="72" customFormat="1" x14ac:dyDescent="0.4">
      <c r="A25" s="66" t="s">
        <v>21</v>
      </c>
      <c r="G25" s="72">
        <v>150000</v>
      </c>
    </row>
    <row r="26" spans="1:9" s="72" customFormat="1" x14ac:dyDescent="0.4">
      <c r="A26" s="66" t="s">
        <v>23</v>
      </c>
      <c r="B26" s="72">
        <v>458</v>
      </c>
    </row>
    <row r="27" spans="1:9" s="76" customFormat="1" x14ac:dyDescent="0.4">
      <c r="A27" s="76" t="s">
        <v>2</v>
      </c>
      <c r="B27" s="76">
        <f t="shared" ref="B27:E27" si="4">SUM(B19:B26)</f>
        <v>226030.02000000002</v>
      </c>
      <c r="C27" s="76">
        <f t="shared" si="4"/>
        <v>197481.29</v>
      </c>
      <c r="D27" s="76">
        <f t="shared" si="4"/>
        <v>131096.07</v>
      </c>
      <c r="E27" s="76">
        <f t="shared" si="4"/>
        <v>230584.71</v>
      </c>
      <c r="F27" s="76">
        <f>SUM(F19:F26)</f>
        <v>163775.52999999997</v>
      </c>
      <c r="G27" s="76">
        <f t="shared" ref="G27:I27" si="5">SUM(G19:G26)</f>
        <v>326705.36</v>
      </c>
      <c r="H27" s="76">
        <f t="shared" si="5"/>
        <v>229219.15333333335</v>
      </c>
      <c r="I27" s="76">
        <f t="shared" si="5"/>
        <v>365353.6</v>
      </c>
    </row>
    <row r="28" spans="1:9" s="61" customFormat="1" ht="13.5" customHeight="1" x14ac:dyDescent="0.5">
      <c r="A28" s="60">
        <f>+A3</f>
        <v>2019</v>
      </c>
      <c r="B28" s="61">
        <v>9</v>
      </c>
      <c r="C28" s="61">
        <v>10</v>
      </c>
      <c r="D28" s="61">
        <v>11</v>
      </c>
      <c r="E28" s="61">
        <v>12</v>
      </c>
      <c r="F28" s="61">
        <v>1</v>
      </c>
      <c r="G28" s="61">
        <v>2</v>
      </c>
      <c r="H28" s="61">
        <v>3</v>
      </c>
      <c r="I28" s="61">
        <v>4</v>
      </c>
    </row>
    <row r="29" spans="1:9" s="58" customFormat="1" x14ac:dyDescent="0.4">
      <c r="A29" s="58" t="s">
        <v>3</v>
      </c>
    </row>
    <row r="30" spans="1:9" s="83" customFormat="1" x14ac:dyDescent="0.4">
      <c r="A30" s="82" t="s">
        <v>4</v>
      </c>
    </row>
    <row r="31" spans="1:9" s="72" customFormat="1" x14ac:dyDescent="0.4">
      <c r="A31" s="66" t="s">
        <v>43</v>
      </c>
      <c r="B31" s="72">
        <f>-8991.38-3154.8-2010-13944.18-3047.04-123.02-1217.88-255.02-104.74-108.58-96-128.6-245.83-7548.1-13293.91-4433.01-172.97-7822.72-56074.05-948-2727.6+209.57+13900</f>
        <v>-112337.86</v>
      </c>
      <c r="C31" s="72">
        <f>-900-55648.99</f>
        <v>-56548.99</v>
      </c>
      <c r="D31" s="72">
        <v>-53000</v>
      </c>
      <c r="E31" s="72">
        <v>-50000</v>
      </c>
      <c r="F31" s="72">
        <f>-40000-40000</f>
        <v>-80000</v>
      </c>
      <c r="G31" s="72">
        <v>-145677</v>
      </c>
      <c r="H31" s="72">
        <v>-75000</v>
      </c>
      <c r="I31" s="72">
        <v>-90000</v>
      </c>
    </row>
    <row r="32" spans="1:9" s="72" customFormat="1" x14ac:dyDescent="0.4">
      <c r="A32" s="66" t="s">
        <v>30</v>
      </c>
    </row>
    <row r="33" spans="1:9" s="72" customFormat="1" x14ac:dyDescent="0.4">
      <c r="A33" s="66" t="s">
        <v>31</v>
      </c>
      <c r="B33" s="72">
        <f>-378.97-172.9-740-2400-4800-619.74-500</f>
        <v>-9611.6099999999988</v>
      </c>
      <c r="C33" s="72">
        <f>-758.8-2000-209.3-94.92-180</f>
        <v>-3243.0200000000004</v>
      </c>
      <c r="D33" s="72">
        <v>-1250</v>
      </c>
      <c r="E33" s="72">
        <v>-1250</v>
      </c>
      <c r="F33" s="72">
        <v>-1000</v>
      </c>
      <c r="G33" s="72">
        <v>-1000</v>
      </c>
      <c r="H33" s="72">
        <v>-1000</v>
      </c>
      <c r="I33" s="72">
        <v>-1000</v>
      </c>
    </row>
    <row r="34" spans="1:9" s="72" customFormat="1" x14ac:dyDescent="0.4">
      <c r="A34" s="66" t="s">
        <v>42</v>
      </c>
      <c r="B34" s="72">
        <f>-39-128-589-160-773.11-25-261-299.11</f>
        <v>-2274.2200000000003</v>
      </c>
      <c r="C34" s="72">
        <f>-52.5-1312.68</f>
        <v>-1365.18</v>
      </c>
      <c r="D34" s="72">
        <f>-1400-500-600</f>
        <v>-2500</v>
      </c>
      <c r="E34" s="72">
        <v>-2500</v>
      </c>
      <c r="F34" s="72">
        <v>-3500</v>
      </c>
      <c r="G34" s="72">
        <v>-3500</v>
      </c>
      <c r="H34" s="72">
        <v>-3500</v>
      </c>
      <c r="I34" s="72">
        <v>-3500</v>
      </c>
    </row>
    <row r="35" spans="1:9" s="72" customFormat="1" x14ac:dyDescent="0.4">
      <c r="A35" s="66"/>
    </row>
    <row r="36" spans="1:9" s="72" customFormat="1" x14ac:dyDescent="0.4">
      <c r="A36" s="66" t="s">
        <v>25</v>
      </c>
      <c r="B36" s="72">
        <f>-6260.76*5</f>
        <v>-31303.800000000003</v>
      </c>
      <c r="C36" s="72">
        <f>-6260.76</f>
        <v>-6260.76</v>
      </c>
      <c r="D36" s="72">
        <f>-6260.76</f>
        <v>-6260.76</v>
      </c>
      <c r="E36" s="72">
        <f>-6260.76</f>
        <v>-6260.76</v>
      </c>
      <c r="F36" s="72">
        <f>-6260.76</f>
        <v>-6260.76</v>
      </c>
      <c r="G36" s="72">
        <f t="shared" ref="G36:I36" si="6">-6260.76</f>
        <v>-6260.76</v>
      </c>
      <c r="H36" s="72">
        <f t="shared" si="6"/>
        <v>-6260.76</v>
      </c>
      <c r="I36" s="72">
        <f t="shared" si="6"/>
        <v>-6260.76</v>
      </c>
    </row>
    <row r="37" spans="1:9" s="72" customFormat="1" x14ac:dyDescent="0.4">
      <c r="A37" s="66" t="s">
        <v>33</v>
      </c>
      <c r="B37" s="72">
        <v>-7500</v>
      </c>
      <c r="E37" s="72">
        <v>-7500</v>
      </c>
      <c r="H37" s="72">
        <v>-7500</v>
      </c>
    </row>
    <row r="38" spans="1:9" s="72" customFormat="1" x14ac:dyDescent="0.4"/>
    <row r="39" spans="1:9" s="72" customFormat="1" x14ac:dyDescent="0.4">
      <c r="A39" s="72" t="s">
        <v>96</v>
      </c>
      <c r="F39" s="72">
        <v>-4700</v>
      </c>
    </row>
    <row r="40" spans="1:9" s="72" customFormat="1" x14ac:dyDescent="0.4">
      <c r="A40" s="66" t="s">
        <v>97</v>
      </c>
      <c r="E40" s="72">
        <v>-5500</v>
      </c>
    </row>
    <row r="41" spans="1:9" s="72" customFormat="1" x14ac:dyDescent="0.4">
      <c r="A41" s="66"/>
    </row>
    <row r="42" spans="1:9" s="72" customFormat="1" x14ac:dyDescent="0.4">
      <c r="A42" s="66" t="s">
        <v>38</v>
      </c>
      <c r="B42" s="72">
        <f>-15104-13900</f>
        <v>-29004</v>
      </c>
      <c r="C42" s="72">
        <f>-15161-11220.05</f>
        <v>-26381.05</v>
      </c>
      <c r="D42" s="72">
        <f>-15300-8700</f>
        <v>-24000</v>
      </c>
      <c r="E42" s="72">
        <f>-28000-6200-950</f>
        <v>-35150</v>
      </c>
      <c r="F42" s="72">
        <v>-29000</v>
      </c>
      <c r="G42" s="72">
        <v>-29000</v>
      </c>
      <c r="H42" s="72">
        <v>-29000</v>
      </c>
      <c r="I42" s="72">
        <v>-29000</v>
      </c>
    </row>
    <row r="43" spans="1:9" s="72" customFormat="1" x14ac:dyDescent="0.4">
      <c r="A43" s="66" t="s">
        <v>39</v>
      </c>
      <c r="D43" s="72">
        <v>-6000</v>
      </c>
      <c r="E43" s="72">
        <v>-18000</v>
      </c>
      <c r="F43" s="72">
        <v>-13000</v>
      </c>
      <c r="G43" s="72">
        <v>-13000</v>
      </c>
      <c r="H43" s="72">
        <v>-13000</v>
      </c>
      <c r="I43" s="72">
        <v>-13000</v>
      </c>
    </row>
    <row r="44" spans="1:9" s="72" customFormat="1" x14ac:dyDescent="0.4">
      <c r="A44" s="66" t="s">
        <v>113</v>
      </c>
      <c r="F44" s="72">
        <v>-2000</v>
      </c>
      <c r="G44" s="72">
        <v>-2000</v>
      </c>
      <c r="H44" s="72">
        <v>-2000</v>
      </c>
      <c r="I44" s="72">
        <v>-2000</v>
      </c>
    </row>
    <row r="45" spans="1:9" s="72" customFormat="1" x14ac:dyDescent="0.4">
      <c r="A45" s="66"/>
    </row>
    <row r="46" spans="1:9" s="72" customFormat="1" x14ac:dyDescent="0.4">
      <c r="A46" s="66" t="s">
        <v>40</v>
      </c>
      <c r="B46" s="72">
        <v>-8250</v>
      </c>
      <c r="C46" s="72">
        <v>-5250</v>
      </c>
      <c r="D46" s="72">
        <v>-5250</v>
      </c>
      <c r="E46" s="72">
        <v>-5250</v>
      </c>
      <c r="F46" s="72">
        <v>-5250</v>
      </c>
      <c r="G46" s="72">
        <v>-5250</v>
      </c>
      <c r="H46" s="72">
        <v>-5250</v>
      </c>
      <c r="I46" s="72">
        <v>-5250</v>
      </c>
    </row>
    <row r="47" spans="1:9" s="72" customFormat="1" x14ac:dyDescent="0.4">
      <c r="A47" s="66" t="s">
        <v>41</v>
      </c>
    </row>
    <row r="48" spans="1:9" s="72" customFormat="1" x14ac:dyDescent="0.4">
      <c r="A48" s="66" t="s">
        <v>49</v>
      </c>
      <c r="B48" s="72">
        <f>-3120</f>
        <v>-3120</v>
      </c>
      <c r="C48" s="72">
        <f>-3120-289</f>
        <v>-3409</v>
      </c>
      <c r="D48" s="72">
        <f>-3720-2800</f>
        <v>-6520</v>
      </c>
      <c r="E48" s="72">
        <v>-3720</v>
      </c>
      <c r="F48" s="72">
        <v>-3720</v>
      </c>
      <c r="G48" s="72">
        <v>-3720</v>
      </c>
      <c r="H48" s="72">
        <v>-3720</v>
      </c>
      <c r="I48" s="72">
        <v>-3720</v>
      </c>
    </row>
    <row r="49" spans="1:9" s="72" customFormat="1" x14ac:dyDescent="0.4">
      <c r="A49" s="66"/>
    </row>
    <row r="50" spans="1:9" s="72" customFormat="1" x14ac:dyDescent="0.4">
      <c r="A50" s="66" t="s">
        <v>112</v>
      </c>
      <c r="B50" s="72">
        <v>-12455</v>
      </c>
      <c r="C50" s="72">
        <v>-13433</v>
      </c>
      <c r="D50" s="72">
        <v>-13000</v>
      </c>
      <c r="E50" s="72">
        <v>-25000</v>
      </c>
      <c r="F50" s="72">
        <v>-5000</v>
      </c>
      <c r="G50" s="72">
        <v>-15000</v>
      </c>
      <c r="H50" s="72">
        <v>-20000</v>
      </c>
      <c r="I50" s="72">
        <v>-18000</v>
      </c>
    </row>
    <row r="51" spans="1:9" s="72" customFormat="1" x14ac:dyDescent="0.4">
      <c r="A51" s="66"/>
    </row>
    <row r="52" spans="1:9" s="72" customFormat="1" x14ac:dyDescent="0.4">
      <c r="A52" s="80" t="s">
        <v>122</v>
      </c>
      <c r="B52" s="58">
        <f>SUM(B31:B51)</f>
        <v>-215856.49</v>
      </c>
      <c r="C52" s="58">
        <f t="shared" ref="C52:I52" si="7">SUM(C31:C51)</f>
        <v>-115891</v>
      </c>
      <c r="D52" s="58">
        <f t="shared" si="7"/>
        <v>-117780.76000000001</v>
      </c>
      <c r="E52" s="58">
        <f t="shared" si="7"/>
        <v>-160130.76</v>
      </c>
      <c r="F52" s="58">
        <f t="shared" si="7"/>
        <v>-153430.76</v>
      </c>
      <c r="G52" s="58">
        <f t="shared" si="7"/>
        <v>-224407.76</v>
      </c>
      <c r="H52" s="58">
        <f t="shared" si="7"/>
        <v>-166230.76</v>
      </c>
      <c r="I52" s="58">
        <f t="shared" si="7"/>
        <v>-171730.76</v>
      </c>
    </row>
    <row r="53" spans="1:9" s="72" customFormat="1" x14ac:dyDescent="0.4">
      <c r="A53" s="71"/>
      <c r="B53" s="58"/>
      <c r="C53" s="58"/>
      <c r="D53" s="58"/>
      <c r="E53" s="58"/>
      <c r="F53" s="58"/>
      <c r="G53" s="58"/>
      <c r="H53" s="58"/>
      <c r="I53" s="58"/>
    </row>
    <row r="54" spans="1:9" s="83" customFormat="1" x14ac:dyDescent="0.4">
      <c r="A54" s="82" t="s">
        <v>28</v>
      </c>
    </row>
    <row r="55" spans="1:9" s="72" customFormat="1" x14ac:dyDescent="0.4">
      <c r="A55" s="66" t="s">
        <v>29</v>
      </c>
      <c r="E55" s="72">
        <v>-30000</v>
      </c>
      <c r="G55" s="72">
        <v>-150000</v>
      </c>
      <c r="I55" s="72">
        <v>-25000</v>
      </c>
    </row>
    <row r="56" spans="1:9" s="72" customFormat="1" x14ac:dyDescent="0.4">
      <c r="A56" s="66" t="s">
        <v>65</v>
      </c>
      <c r="H56" s="72">
        <v>-7500</v>
      </c>
    </row>
    <row r="57" spans="1:9" s="72" customFormat="1" x14ac:dyDescent="0.4">
      <c r="A57" s="75"/>
    </row>
    <row r="58" spans="1:9" s="72" customFormat="1" x14ac:dyDescent="0.4">
      <c r="A58" s="72" t="s">
        <v>5</v>
      </c>
    </row>
    <row r="59" spans="1:9" s="72" customFormat="1" x14ac:dyDescent="0.4">
      <c r="A59" s="75" t="s">
        <v>107</v>
      </c>
      <c r="B59" s="72">
        <f t="shared" ref="B59:I59" si="8">-397.33</f>
        <v>-397.33</v>
      </c>
      <c r="C59" s="72">
        <f t="shared" si="8"/>
        <v>-397.33</v>
      </c>
      <c r="D59" s="72">
        <f t="shared" si="8"/>
        <v>-397.33</v>
      </c>
      <c r="E59" s="72">
        <f t="shared" si="8"/>
        <v>-397.33</v>
      </c>
      <c r="F59" s="72">
        <f t="shared" si="8"/>
        <v>-397.33</v>
      </c>
      <c r="G59" s="72">
        <f t="shared" si="8"/>
        <v>-397.33</v>
      </c>
      <c r="H59" s="72">
        <f t="shared" si="8"/>
        <v>-397.33</v>
      </c>
      <c r="I59" s="72">
        <f t="shared" si="8"/>
        <v>-397.33</v>
      </c>
    </row>
    <row r="60" spans="1:9" s="72" customFormat="1" x14ac:dyDescent="0.4">
      <c r="A60" s="75" t="s">
        <v>108</v>
      </c>
      <c r="B60" s="72">
        <v>-2915.05</v>
      </c>
      <c r="C60" s="72">
        <v>-2915.05</v>
      </c>
      <c r="D60" s="72">
        <v>-2915.05</v>
      </c>
      <c r="E60" s="72">
        <v>-2915.05</v>
      </c>
      <c r="F60" s="72">
        <v>-2915.05</v>
      </c>
      <c r="G60" s="72">
        <v>-2914.05</v>
      </c>
      <c r="H60" s="72">
        <v>-2913.05</v>
      </c>
      <c r="I60" s="72">
        <v>-2912.05</v>
      </c>
    </row>
    <row r="61" spans="1:9" s="72" customFormat="1" x14ac:dyDescent="0.4">
      <c r="A61" s="75" t="s">
        <v>109</v>
      </c>
      <c r="B61" s="72">
        <v>-609.65</v>
      </c>
      <c r="C61" s="72">
        <v>-609.65</v>
      </c>
      <c r="D61" s="72">
        <v>-609.65</v>
      </c>
      <c r="E61" s="72">
        <v>-609.65</v>
      </c>
      <c r="F61" s="72">
        <v>-609.65</v>
      </c>
      <c r="G61" s="72">
        <v>-608.65</v>
      </c>
      <c r="H61" s="72">
        <v>-607.65</v>
      </c>
      <c r="I61" s="72">
        <v>-606.65</v>
      </c>
    </row>
    <row r="62" spans="1:9" s="72" customFormat="1" x14ac:dyDescent="0.4">
      <c r="A62" s="75" t="s">
        <v>110</v>
      </c>
      <c r="B62" s="72">
        <f>-572.86-1142.5-840</f>
        <v>-2555.36</v>
      </c>
      <c r="C62" s="72">
        <f>-572.86-901.8-901.8</f>
        <v>-2376.46</v>
      </c>
      <c r="D62" s="72">
        <f>-572.86-901.8</f>
        <v>-1474.6599999999999</v>
      </c>
      <c r="E62" s="72">
        <f>-572.86-901.8</f>
        <v>-1474.6599999999999</v>
      </c>
      <c r="F62" s="72">
        <f>-572.86-901.8</f>
        <v>-1474.6599999999999</v>
      </c>
      <c r="G62" s="72">
        <f t="shared" ref="G62:I62" si="9">-572.86-901.8</f>
        <v>-1474.6599999999999</v>
      </c>
      <c r="H62" s="72">
        <f t="shared" si="9"/>
        <v>-1474.6599999999999</v>
      </c>
      <c r="I62" s="72">
        <f t="shared" si="9"/>
        <v>-1474.6599999999999</v>
      </c>
    </row>
    <row r="63" spans="1:9" s="72" customFormat="1" x14ac:dyDescent="0.4">
      <c r="A63" s="75" t="s">
        <v>34</v>
      </c>
      <c r="B63" s="72">
        <v>-6245.49</v>
      </c>
      <c r="C63" s="72">
        <f>-2485.31-3760.18</f>
        <v>-6245.49</v>
      </c>
      <c r="D63" s="72">
        <v>-6500</v>
      </c>
      <c r="E63" s="72">
        <v>-6500</v>
      </c>
      <c r="F63" s="72">
        <v>-6300</v>
      </c>
      <c r="G63" s="72">
        <v>-6300</v>
      </c>
      <c r="H63" s="72">
        <v>-6300</v>
      </c>
      <c r="I63" s="72">
        <v>-6300</v>
      </c>
    </row>
    <row r="64" spans="1:9" s="72" customFormat="1" x14ac:dyDescent="0.4">
      <c r="A64" s="75"/>
    </row>
    <row r="65" spans="1:9" s="72" customFormat="1" x14ac:dyDescent="0.4">
      <c r="A65" s="80" t="s">
        <v>123</v>
      </c>
      <c r="B65" s="58">
        <f>SUM(B55:B64)</f>
        <v>-12722.880000000001</v>
      </c>
      <c r="C65" s="58">
        <f t="shared" ref="C65:I65" si="10">SUM(C55:C64)</f>
        <v>-12543.98</v>
      </c>
      <c r="D65" s="58">
        <f t="shared" si="10"/>
        <v>-11896.69</v>
      </c>
      <c r="E65" s="58">
        <f t="shared" si="10"/>
        <v>-41896.69</v>
      </c>
      <c r="F65" s="58">
        <f t="shared" si="10"/>
        <v>-11696.69</v>
      </c>
      <c r="G65" s="58">
        <f t="shared" si="10"/>
        <v>-161694.68999999997</v>
      </c>
      <c r="H65" s="58">
        <f t="shared" si="10"/>
        <v>-19192.690000000002</v>
      </c>
      <c r="I65" s="58">
        <f t="shared" si="10"/>
        <v>-36690.69</v>
      </c>
    </row>
    <row r="66" spans="1:9" s="58" customFormat="1" x14ac:dyDescent="0.4">
      <c r="A66" s="71"/>
    </row>
    <row r="67" spans="1:9" s="83" customFormat="1" x14ac:dyDescent="0.4">
      <c r="A67" s="84" t="s">
        <v>124</v>
      </c>
    </row>
    <row r="68" spans="1:9" s="72" customFormat="1" x14ac:dyDescent="0.4">
      <c r="A68" s="72" t="s">
        <v>44</v>
      </c>
      <c r="B68" s="72">
        <v>-4619.47</v>
      </c>
      <c r="C68" s="72">
        <v>-4622.1899999999996</v>
      </c>
      <c r="D68" s="72">
        <v>-4628.5</v>
      </c>
      <c r="E68" s="72">
        <v>-4628.5</v>
      </c>
      <c r="F68" s="72">
        <v>-4628.5</v>
      </c>
      <c r="G68" s="72">
        <v>-4627.5</v>
      </c>
      <c r="H68" s="72">
        <f>-4626.5-5000</f>
        <v>-9626.5</v>
      </c>
      <c r="I68" s="72">
        <f>-4625.5-5000</f>
        <v>-9625.5</v>
      </c>
    </row>
    <row r="69" spans="1:9" s="72" customFormat="1" x14ac:dyDescent="0.4">
      <c r="A69" s="70" t="s">
        <v>6</v>
      </c>
      <c r="B69" s="72">
        <v>-451</v>
      </c>
      <c r="C69" s="72">
        <v>-311</v>
      </c>
      <c r="D69" s="72">
        <v>-300</v>
      </c>
      <c r="E69" s="72">
        <v>-200</v>
      </c>
      <c r="F69" s="72">
        <v>-200</v>
      </c>
      <c r="G69" s="72">
        <v>-8751</v>
      </c>
      <c r="H69" s="72">
        <v>-300</v>
      </c>
      <c r="I69" s="72">
        <v>-300</v>
      </c>
    </row>
    <row r="70" spans="1:9" s="72" customFormat="1" x14ac:dyDescent="0.4">
      <c r="A70" s="70"/>
    </row>
    <row r="71" spans="1:9" s="72" customFormat="1" x14ac:dyDescent="0.4">
      <c r="A71" s="111" t="s">
        <v>125</v>
      </c>
      <c r="B71" s="58">
        <f>SUM(B68:B70)</f>
        <v>-5070.47</v>
      </c>
      <c r="C71" s="58">
        <f t="shared" ref="C71:I71" si="11">SUM(C68:C70)</f>
        <v>-4933.1899999999996</v>
      </c>
      <c r="D71" s="58">
        <f t="shared" si="11"/>
        <v>-4928.5</v>
      </c>
      <c r="E71" s="58">
        <f t="shared" si="11"/>
        <v>-4828.5</v>
      </c>
      <c r="F71" s="58">
        <f t="shared" si="11"/>
        <v>-4828.5</v>
      </c>
      <c r="G71" s="58">
        <f t="shared" si="11"/>
        <v>-13378.5</v>
      </c>
      <c r="H71" s="58">
        <f t="shared" si="11"/>
        <v>-9926.5</v>
      </c>
      <c r="I71" s="58">
        <f t="shared" si="11"/>
        <v>-9925.5</v>
      </c>
    </row>
    <row r="72" spans="1:9" s="58" customFormat="1" x14ac:dyDescent="0.4">
      <c r="A72" s="71"/>
    </row>
    <row r="73" spans="1:9" s="83" customFormat="1" x14ac:dyDescent="0.4">
      <c r="A73" s="84" t="s">
        <v>32</v>
      </c>
    </row>
    <row r="74" spans="1:9" s="72" customFormat="1" x14ac:dyDescent="0.4">
      <c r="A74" s="72" t="s">
        <v>111</v>
      </c>
      <c r="E74" s="72">
        <v>-8995</v>
      </c>
    </row>
    <row r="75" spans="1:9" s="72" customFormat="1" x14ac:dyDescent="0.4">
      <c r="A75" s="72" t="s">
        <v>24</v>
      </c>
      <c r="B75" s="72">
        <f>-4340.26-482.7</f>
        <v>-4822.96</v>
      </c>
      <c r="D75" s="72">
        <f>-50900-500+6400-1000</f>
        <v>-46000</v>
      </c>
    </row>
    <row r="76" spans="1:9" s="72" customFormat="1" x14ac:dyDescent="0.4"/>
    <row r="77" spans="1:9" s="58" customFormat="1" x14ac:dyDescent="0.4">
      <c r="A77" s="80" t="s">
        <v>126</v>
      </c>
      <c r="B77" s="58">
        <f>SUM(B74:B76)</f>
        <v>-4822.96</v>
      </c>
      <c r="C77" s="58">
        <f t="shared" ref="C77:I77" si="12">SUM(C74:C76)</f>
        <v>0</v>
      </c>
      <c r="D77" s="58">
        <f t="shared" si="12"/>
        <v>-46000</v>
      </c>
      <c r="E77" s="58">
        <f t="shared" si="12"/>
        <v>-8995</v>
      </c>
      <c r="F77" s="58">
        <f t="shared" si="12"/>
        <v>0</v>
      </c>
      <c r="G77" s="58">
        <f t="shared" si="12"/>
        <v>0</v>
      </c>
      <c r="H77" s="58">
        <f t="shared" si="12"/>
        <v>0</v>
      </c>
      <c r="I77" s="58">
        <f t="shared" si="12"/>
        <v>0</v>
      </c>
    </row>
    <row r="78" spans="1:9" s="58" customFormat="1" x14ac:dyDescent="0.4">
      <c r="A78" s="71"/>
    </row>
    <row r="79" spans="1:9" s="83" customFormat="1" x14ac:dyDescent="0.4">
      <c r="A79" s="84" t="s">
        <v>128</v>
      </c>
      <c r="B79" s="83" t="s">
        <v>66</v>
      </c>
    </row>
    <row r="80" spans="1:9" s="72" customFormat="1" x14ac:dyDescent="0.4"/>
    <row r="81" spans="1:12" s="72" customFormat="1" x14ac:dyDescent="0.4">
      <c r="A81" s="72" t="s">
        <v>35</v>
      </c>
      <c r="B81" s="72">
        <f>-5400*5</f>
        <v>-27000</v>
      </c>
      <c r="C81" s="72">
        <f>-5400</f>
        <v>-5400</v>
      </c>
      <c r="D81" s="72">
        <f>-5400</f>
        <v>-5400</v>
      </c>
      <c r="E81" s="72">
        <f>-5400</f>
        <v>-5400</v>
      </c>
      <c r="F81" s="72">
        <f>-5400</f>
        <v>-5400</v>
      </c>
      <c r="G81" s="72">
        <f t="shared" ref="G81:I81" si="13">-5400</f>
        <v>-5400</v>
      </c>
      <c r="H81" s="72">
        <f t="shared" si="13"/>
        <v>-5400</v>
      </c>
      <c r="I81" s="72">
        <f t="shared" si="13"/>
        <v>-5400</v>
      </c>
    </row>
    <row r="82" spans="1:12" s="72" customFormat="1" x14ac:dyDescent="0.4">
      <c r="A82" s="66" t="s">
        <v>36</v>
      </c>
      <c r="B82" s="72">
        <v>-21000</v>
      </c>
      <c r="E82" s="72">
        <v>-21000</v>
      </c>
      <c r="H82" s="72">
        <v>-21000</v>
      </c>
    </row>
    <row r="83" spans="1:12" s="72" customFormat="1" x14ac:dyDescent="0.4">
      <c r="A83" s="72" t="s">
        <v>22</v>
      </c>
      <c r="D83" s="72">
        <v>-70000</v>
      </c>
    </row>
    <row r="84" spans="1:12" s="72" customFormat="1" ht="12.75" customHeight="1" x14ac:dyDescent="0.5">
      <c r="A84" s="72" t="s">
        <v>27</v>
      </c>
      <c r="E84" s="72">
        <v>-120000</v>
      </c>
      <c r="F84" s="81"/>
      <c r="G84" s="81"/>
      <c r="H84" s="81"/>
      <c r="I84" s="81"/>
      <c r="J84" s="81"/>
      <c r="K84" s="81"/>
      <c r="L84" s="81"/>
    </row>
    <row r="85" spans="1:12" s="72" customFormat="1" ht="12.75" customHeight="1" x14ac:dyDescent="0.5">
      <c r="F85" s="81"/>
      <c r="G85" s="81"/>
      <c r="H85" s="81"/>
      <c r="I85" s="81"/>
      <c r="J85" s="81"/>
      <c r="K85" s="81"/>
      <c r="L85" s="81"/>
    </row>
    <row r="86" spans="1:12" s="72" customFormat="1" ht="12.75" customHeight="1" x14ac:dyDescent="0.5">
      <c r="A86" s="80" t="s">
        <v>127</v>
      </c>
      <c r="B86" s="58">
        <f>SUM(B80:B85)</f>
        <v>-48000</v>
      </c>
      <c r="C86" s="58">
        <f t="shared" ref="C86:I86" si="14">SUM(C80:C85)</f>
        <v>-5400</v>
      </c>
      <c r="D86" s="58">
        <f t="shared" si="14"/>
        <v>-75400</v>
      </c>
      <c r="E86" s="58">
        <f t="shared" si="14"/>
        <v>-146400</v>
      </c>
      <c r="F86" s="58">
        <f t="shared" si="14"/>
        <v>-5400</v>
      </c>
      <c r="G86" s="58">
        <f t="shared" si="14"/>
        <v>-5400</v>
      </c>
      <c r="H86" s="58">
        <f t="shared" si="14"/>
        <v>-26400</v>
      </c>
      <c r="I86" s="58">
        <f t="shared" si="14"/>
        <v>-5400</v>
      </c>
      <c r="J86" s="81"/>
      <c r="K86" s="81"/>
      <c r="L86" s="81"/>
    </row>
    <row r="87" spans="1:12" s="58" customFormat="1" ht="12.75" customHeight="1" x14ac:dyDescent="0.5">
      <c r="J87" s="81"/>
      <c r="K87" s="81"/>
      <c r="L87" s="81"/>
    </row>
    <row r="88" spans="1:12" s="87" customFormat="1" x14ac:dyDescent="0.4">
      <c r="A88" s="85" t="s">
        <v>7</v>
      </c>
      <c r="B88" s="86">
        <f>+B86+B77+B71+B65+B52</f>
        <v>-286472.8</v>
      </c>
      <c r="C88" s="86">
        <f t="shared" ref="C88:I88" si="15">+C86+C77+C71+C65+C52</f>
        <v>-138768.16999999998</v>
      </c>
      <c r="D88" s="86">
        <f t="shared" si="15"/>
        <v>-256005.95</v>
      </c>
      <c r="E88" s="86">
        <f t="shared" si="15"/>
        <v>-362250.95</v>
      </c>
      <c r="F88" s="86">
        <f t="shared" si="15"/>
        <v>-175355.95</v>
      </c>
      <c r="G88" s="86">
        <f t="shared" si="15"/>
        <v>-404880.94999999995</v>
      </c>
      <c r="H88" s="86">
        <f t="shared" si="15"/>
        <v>-221749.95</v>
      </c>
      <c r="I88" s="86">
        <f t="shared" si="15"/>
        <v>-223746.95</v>
      </c>
      <c r="J88" s="85"/>
      <c r="K88" s="85"/>
      <c r="L88" s="85"/>
    </row>
    <row r="89" spans="1:12" s="91" customFormat="1" x14ac:dyDescent="0.4">
      <c r="A89" s="89"/>
      <c r="B89" s="90"/>
      <c r="C89" s="90"/>
      <c r="D89" s="90"/>
      <c r="E89" s="90"/>
      <c r="F89" s="90"/>
      <c r="G89" s="90"/>
      <c r="H89" s="90"/>
      <c r="I89" s="90"/>
      <c r="J89" s="89"/>
      <c r="K89" s="89"/>
      <c r="L89" s="89"/>
    </row>
    <row r="90" spans="1:12" s="54" customFormat="1" x14ac:dyDescent="0.4">
      <c r="A90" s="52" t="s">
        <v>115</v>
      </c>
      <c r="B90" s="53">
        <f t="shared" ref="B90:I90" si="16">+B27+B88</f>
        <v>-60442.77999999997</v>
      </c>
      <c r="C90" s="53">
        <f t="shared" si="16"/>
        <v>58713.120000000024</v>
      </c>
      <c r="D90" s="53">
        <f t="shared" si="16"/>
        <v>-124909.88</v>
      </c>
      <c r="E90" s="53">
        <f t="shared" si="16"/>
        <v>-131666.24000000002</v>
      </c>
      <c r="F90" s="53">
        <f t="shared" si="16"/>
        <v>-11580.420000000042</v>
      </c>
      <c r="G90" s="53">
        <f t="shared" si="16"/>
        <v>-78175.589999999967</v>
      </c>
      <c r="H90" s="53">
        <f t="shared" si="16"/>
        <v>7469.2033333333384</v>
      </c>
      <c r="I90" s="53">
        <f t="shared" si="16"/>
        <v>141606.64999999997</v>
      </c>
      <c r="J90" s="52"/>
      <c r="K90" s="52"/>
      <c r="L90" s="52"/>
    </row>
    <row r="91" spans="1:12" s="72" customFormat="1" ht="15" x14ac:dyDescent="0.5">
      <c r="A91" s="60">
        <f t="shared" ref="A91" si="17">+A3</f>
        <v>2019</v>
      </c>
      <c r="B91" s="60">
        <v>9</v>
      </c>
      <c r="C91" s="60">
        <v>10</v>
      </c>
      <c r="D91" s="60">
        <v>11</v>
      </c>
      <c r="E91" s="60">
        <v>12</v>
      </c>
      <c r="F91" s="60">
        <v>1</v>
      </c>
      <c r="G91" s="60">
        <v>2</v>
      </c>
      <c r="H91" s="60">
        <v>3</v>
      </c>
      <c r="I91" s="60">
        <v>4</v>
      </c>
      <c r="J91" s="60"/>
      <c r="K91" s="60"/>
      <c r="L91" s="60"/>
    </row>
    <row r="92" spans="1:12" s="81" customFormat="1" ht="15" x14ac:dyDescent="0.5">
      <c r="A92" s="58" t="s">
        <v>8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s="88" customFormat="1" x14ac:dyDescent="0.4">
      <c r="A93" s="58" t="s">
        <v>9</v>
      </c>
      <c r="B93" s="72">
        <v>-653557.15</v>
      </c>
      <c r="C93" s="72">
        <f t="shared" ref="C93:E93" si="18">+B99</f>
        <v>-713999.92999999993</v>
      </c>
      <c r="D93" s="72">
        <f t="shared" si="18"/>
        <v>-655286.80999999994</v>
      </c>
      <c r="E93" s="72">
        <f t="shared" si="18"/>
        <v>-780196.69</v>
      </c>
      <c r="F93" s="72">
        <f>+E99</f>
        <v>-911862.92999999993</v>
      </c>
      <c r="G93" s="72">
        <f t="shared" ref="G93:I93" si="19">+F99</f>
        <v>-923443.35</v>
      </c>
      <c r="H93" s="72">
        <f t="shared" si="19"/>
        <v>-1001618.94</v>
      </c>
      <c r="I93" s="72">
        <f t="shared" si="19"/>
        <v>-994149.73666666658</v>
      </c>
      <c r="J93" s="72">
        <f>+I99</f>
        <v>-852543.08666666667</v>
      </c>
      <c r="K93" s="72"/>
      <c r="L93" s="72"/>
    </row>
    <row r="94" spans="1:12" s="60" customFormat="1" ht="12.75" customHeight="1" x14ac:dyDescent="0.5">
      <c r="A94" s="75" t="s">
        <v>114</v>
      </c>
      <c r="B94" s="72">
        <v>-307478.77</v>
      </c>
      <c r="C94" s="72">
        <v>-288053.33</v>
      </c>
      <c r="D94" s="72">
        <v>-230388.65</v>
      </c>
      <c r="E94" s="72">
        <f>+D94/D93*E93</f>
        <v>-274305.02094734443</v>
      </c>
      <c r="F94" s="72">
        <f t="shared" ref="F94:J97" si="20">+E94/E93*F93</f>
        <v>-320596.82298159564</v>
      </c>
      <c r="G94" s="72">
        <f t="shared" si="20"/>
        <v>-324668.31853059499</v>
      </c>
      <c r="H94" s="72">
        <f t="shared" si="20"/>
        <v>-352153.64002371876</v>
      </c>
      <c r="I94" s="72">
        <f t="shared" si="20"/>
        <v>-349527.58430844778</v>
      </c>
      <c r="J94" s="72">
        <f t="shared" si="20"/>
        <v>-299740.88873231912</v>
      </c>
      <c r="K94" s="72"/>
      <c r="L94" s="72"/>
    </row>
    <row r="95" spans="1:12" s="72" customFormat="1" x14ac:dyDescent="0.4">
      <c r="A95" s="75" t="s">
        <v>101</v>
      </c>
      <c r="B95" s="72">
        <v>-140418.13</v>
      </c>
      <c r="C95" s="72">
        <v>-223075.47</v>
      </c>
      <c r="D95" s="72">
        <v>-223382.15</v>
      </c>
      <c r="E95" s="72">
        <f t="shared" ref="E95:E97" si="21">+D95/D94*E94</f>
        <v>-265962.95145187416</v>
      </c>
      <c r="F95" s="72">
        <f t="shared" si="20"/>
        <v>-310846.94320140441</v>
      </c>
      <c r="G95" s="72">
        <f t="shared" si="20"/>
        <v>-314794.61783490266</v>
      </c>
      <c r="H95" s="72">
        <f t="shared" si="20"/>
        <v>-341444.06522988155</v>
      </c>
      <c r="I95" s="72">
        <f t="shared" si="20"/>
        <v>-338897.87221344165</v>
      </c>
      <c r="J95" s="72">
        <f t="shared" si="20"/>
        <v>-290625.27241657185</v>
      </c>
    </row>
    <row r="96" spans="1:12" s="72" customFormat="1" x14ac:dyDescent="0.4">
      <c r="A96" s="75" t="s">
        <v>63</v>
      </c>
      <c r="B96" s="72">
        <v>-205660.25</v>
      </c>
      <c r="C96" s="72">
        <f>+C93-C95-C94</f>
        <v>-202871.12999999995</v>
      </c>
      <c r="D96" s="72">
        <v>-185606.75</v>
      </c>
      <c r="E96" s="72">
        <f t="shared" si="21"/>
        <v>-220986.85610909443</v>
      </c>
      <c r="F96" s="72">
        <f t="shared" si="20"/>
        <v>-258280.66779305003</v>
      </c>
      <c r="G96" s="72">
        <f t="shared" si="20"/>
        <v>-261560.76451868835</v>
      </c>
      <c r="H96" s="72">
        <f t="shared" si="20"/>
        <v>-283703.61398216605</v>
      </c>
      <c r="I96" s="72">
        <f t="shared" si="20"/>
        <v>-281587.99905655935</v>
      </c>
      <c r="J96" s="72">
        <f t="shared" si="20"/>
        <v>-241478.61537327195</v>
      </c>
    </row>
    <row r="97" spans="1:12" s="72" customFormat="1" x14ac:dyDescent="0.4">
      <c r="A97" s="75" t="s">
        <v>70</v>
      </c>
      <c r="D97" s="72">
        <f>+D93-D94-D95-D96</f>
        <v>-15909.259999999922</v>
      </c>
      <c r="E97" s="72">
        <f t="shared" si="21"/>
        <v>-18941.861491686883</v>
      </c>
      <c r="F97" s="72">
        <f t="shared" si="20"/>
        <v>-22138.49602394977</v>
      </c>
      <c r="G97" s="72">
        <f t="shared" si="20"/>
        <v>-22419.649115813769</v>
      </c>
      <c r="H97" s="72">
        <f t="shared" si="20"/>
        <v>-24317.620764233481</v>
      </c>
      <c r="I97" s="72">
        <f t="shared" si="20"/>
        <v>-24136.281088217616</v>
      </c>
      <c r="J97" s="72">
        <f t="shared" si="20"/>
        <v>-20698.310144503699</v>
      </c>
    </row>
    <row r="98" spans="1:12" s="54" customFormat="1" x14ac:dyDescent="0.4">
      <c r="A98" s="52" t="s">
        <v>115</v>
      </c>
      <c r="B98" s="52">
        <f t="shared" ref="B98:I98" si="22">+B27+B88</f>
        <v>-60442.77999999997</v>
      </c>
      <c r="C98" s="52">
        <f t="shared" si="22"/>
        <v>58713.120000000024</v>
      </c>
      <c r="D98" s="52">
        <f t="shared" si="22"/>
        <v>-124909.88</v>
      </c>
      <c r="E98" s="52">
        <f t="shared" si="22"/>
        <v>-131666.24000000002</v>
      </c>
      <c r="F98" s="52">
        <f t="shared" si="22"/>
        <v>-11580.420000000042</v>
      </c>
      <c r="G98" s="52">
        <f t="shared" si="22"/>
        <v>-78175.589999999967</v>
      </c>
      <c r="H98" s="52">
        <f t="shared" si="22"/>
        <v>7469.2033333333384</v>
      </c>
      <c r="I98" s="52">
        <f t="shared" si="22"/>
        <v>141606.64999999997</v>
      </c>
      <c r="J98" s="92"/>
      <c r="K98" s="92"/>
      <c r="L98" s="92"/>
    </row>
    <row r="99" spans="1:12" s="95" customFormat="1" ht="14.1" x14ac:dyDescent="0.5">
      <c r="A99" s="93" t="s">
        <v>116</v>
      </c>
      <c r="B99" s="120">
        <f t="shared" ref="B99:F99" si="23">+B93+B98</f>
        <v>-713999.92999999993</v>
      </c>
      <c r="C99" s="120">
        <f t="shared" si="23"/>
        <v>-655286.80999999994</v>
      </c>
      <c r="D99" s="120">
        <f t="shared" si="23"/>
        <v>-780196.69</v>
      </c>
      <c r="E99" s="120">
        <f t="shared" si="23"/>
        <v>-911862.92999999993</v>
      </c>
      <c r="F99" s="120">
        <f t="shared" si="23"/>
        <v>-923443.35</v>
      </c>
      <c r="G99" s="120">
        <f t="shared" ref="G99:I99" si="24">+G93+G98</f>
        <v>-1001618.94</v>
      </c>
      <c r="H99" s="120">
        <f t="shared" si="24"/>
        <v>-994149.73666666658</v>
      </c>
      <c r="I99" s="120">
        <f t="shared" si="24"/>
        <v>-852543.08666666667</v>
      </c>
      <c r="J99" s="94"/>
      <c r="K99" s="94"/>
      <c r="L99" s="94"/>
    </row>
    <row r="100" spans="1:12" s="72" customFormat="1" ht="14.1" x14ac:dyDescent="0.5">
      <c r="A100" s="71" t="s">
        <v>118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</row>
    <row r="101" spans="1:12" s="72" customFormat="1" ht="14.1" x14ac:dyDescent="0.5">
      <c r="A101" s="75" t="s">
        <v>117</v>
      </c>
      <c r="B101" s="72">
        <f>218603.49+B7-B15</f>
        <v>287191.91999999993</v>
      </c>
      <c r="C101" s="72">
        <f t="shared" ref="C101:I101" si="25">+B101+C7-C15</f>
        <v>250620.68999999992</v>
      </c>
      <c r="D101" s="72">
        <f t="shared" si="25"/>
        <v>175870.35999999993</v>
      </c>
      <c r="E101" s="72">
        <f t="shared" si="25"/>
        <v>138269.09999999992</v>
      </c>
      <c r="F101" s="72">
        <f t="shared" si="25"/>
        <v>122915.97999999992</v>
      </c>
      <c r="G101" s="72">
        <f t="shared" si="25"/>
        <v>15424.499999999927</v>
      </c>
      <c r="H101" s="72">
        <f t="shared" si="25"/>
        <v>-7.2759576141834259E-11</v>
      </c>
      <c r="I101" s="72">
        <f t="shared" si="25"/>
        <v>-7.2759576141834259E-11</v>
      </c>
      <c r="J101" s="96"/>
      <c r="K101" s="96"/>
      <c r="L101" s="96"/>
    </row>
    <row r="102" spans="1:12" s="72" customFormat="1" ht="14.1" x14ac:dyDescent="0.5">
      <c r="A102" s="75" t="s">
        <v>102</v>
      </c>
      <c r="B102" s="72">
        <f>306048.032+B6-B14</f>
        <v>300145.902</v>
      </c>
      <c r="C102" s="72">
        <f t="shared" ref="C102:I102" si="26">+B102+C6-C14</f>
        <v>274691.86199999996</v>
      </c>
      <c r="D102" s="72">
        <f t="shared" si="26"/>
        <v>384497.49199999997</v>
      </c>
      <c r="E102" s="72">
        <f t="shared" si="26"/>
        <v>599179.81533333333</v>
      </c>
      <c r="F102" s="72">
        <f t="shared" si="26"/>
        <v>612326.86533333338</v>
      </c>
      <c r="G102" s="72">
        <f t="shared" si="26"/>
        <v>601064.46533333336</v>
      </c>
      <c r="H102" s="72">
        <f t="shared" si="26"/>
        <v>430243.902</v>
      </c>
      <c r="I102" s="72">
        <f t="shared" si="26"/>
        <v>125890.30200000003</v>
      </c>
      <c r="J102" s="96"/>
      <c r="K102" s="96"/>
      <c r="L102" s="96"/>
    </row>
    <row r="103" spans="1:12" s="72" customFormat="1" ht="14.1" x14ac:dyDescent="0.5">
      <c r="A103" s="75" t="s">
        <v>64</v>
      </c>
      <c r="B103" s="72">
        <f>167197.94+B8-B16</f>
        <v>141605</v>
      </c>
      <c r="C103" s="72">
        <f t="shared" ref="C103:I103" si="27">+B103+C8-C16</f>
        <v>159158.10999999999</v>
      </c>
      <c r="D103" s="72">
        <f t="shared" si="27"/>
        <v>148354.37</v>
      </c>
      <c r="E103" s="72">
        <f t="shared" si="27"/>
        <v>41687.429999999993</v>
      </c>
      <c r="F103" s="72">
        <f t="shared" si="27"/>
        <v>28735.569999999992</v>
      </c>
      <c r="G103" s="72">
        <f t="shared" si="27"/>
        <v>17974.089999999993</v>
      </c>
      <c r="H103" s="72">
        <f t="shared" si="27"/>
        <v>0</v>
      </c>
      <c r="I103" s="72">
        <f t="shared" si="27"/>
        <v>0</v>
      </c>
      <c r="J103" s="96"/>
      <c r="K103" s="96"/>
      <c r="L103" s="96"/>
    </row>
    <row r="104" spans="1:12" s="72" customFormat="1" ht="14.1" x14ac:dyDescent="0.5">
      <c r="A104" s="75" t="s">
        <v>71</v>
      </c>
      <c r="D104" s="72">
        <f t="shared" ref="D104:I104" si="28">+C104+D9-D17</f>
        <v>0</v>
      </c>
      <c r="E104" s="72">
        <f t="shared" si="28"/>
        <v>0</v>
      </c>
      <c r="F104" s="72">
        <f t="shared" si="28"/>
        <v>0</v>
      </c>
      <c r="G104" s="72">
        <f t="shared" si="28"/>
        <v>116000</v>
      </c>
      <c r="H104" s="72">
        <f t="shared" si="28"/>
        <v>279000</v>
      </c>
      <c r="I104" s="72">
        <f t="shared" si="28"/>
        <v>398500</v>
      </c>
      <c r="J104" s="96"/>
      <c r="K104" s="96"/>
      <c r="L104" s="96"/>
    </row>
    <row r="105" spans="1:12" s="58" customFormat="1" ht="14.1" x14ac:dyDescent="0.5">
      <c r="A105" s="80" t="s">
        <v>58</v>
      </c>
      <c r="B105" s="58">
        <f t="shared" ref="B105:C105" si="29">+B101+B102+B103</f>
        <v>728942.82199999993</v>
      </c>
      <c r="C105" s="58">
        <f t="shared" si="29"/>
        <v>684470.66199999989</v>
      </c>
      <c r="D105" s="58">
        <f>+D101+D102+D103+D104</f>
        <v>708722.22199999995</v>
      </c>
      <c r="E105" s="58">
        <f>+E101+E102+E103+E104</f>
        <v>779136.34533333313</v>
      </c>
      <c r="F105" s="58">
        <f>+F101+F102+F103+F104</f>
        <v>763978.41533333331</v>
      </c>
      <c r="G105" s="58">
        <f>+G101+G102+G103+G104</f>
        <v>750463.05533333321</v>
      </c>
      <c r="H105" s="58">
        <f t="shared" ref="H105:I105" si="30">+H101+H102+H103+H104</f>
        <v>709243.902</v>
      </c>
      <c r="I105" s="58">
        <f t="shared" si="30"/>
        <v>524390.30199999991</v>
      </c>
      <c r="J105" s="96"/>
      <c r="K105" s="96"/>
      <c r="L105" s="96"/>
    </row>
    <row r="106" spans="1:12" s="104" customFormat="1" ht="37.5" customHeight="1" x14ac:dyDescent="0.4">
      <c r="A106" s="102" t="s">
        <v>98</v>
      </c>
      <c r="B106" s="103" t="str">
        <f>+IF(SUM(B99:B103)&gt;0,"Disponibilità Eur "&amp;TEXT(SUM(B99:B103),"0.000,00"),"Problemi qui! Eur "&amp;TEXT(SUM(B99:B103),"0.000,00"))</f>
        <v>Disponibilità Eur 14.942,89</v>
      </c>
      <c r="C106" s="103" t="str">
        <f>+IF(SUM(C99:C103)&gt;0,"Disponibilità Eur "&amp;TEXT(SUM(C99:C103),"0.000,00"),"Problemi qui! Eur "&amp;TEXT(SUM(C99:C103),"0.000,00"))</f>
        <v>Disponibilità Eur 29.183,85</v>
      </c>
      <c r="D106" s="103" t="str">
        <f>+IF(SUM(D99:D103)&gt;0,"Disponibilità Eur "&amp;TEXT(SUM(D99:D103),"0.000,00"),"Utilizzo fidi cassa x Euro "&amp;TEXT(SUM(D99:D103),"0.000,00"))</f>
        <v>Utilizzo fidi cassa x Euro -71.474,47</v>
      </c>
      <c r="E106" s="103" t="str">
        <f>+IF(SUM(E99:E103)&gt;0,"Disponibilità Eur "&amp;TEXT(SUM(E99:E103),"0.000,00"),"Utilizzo fidi cassa x Euro "&amp;TEXT(SUM(E99:E103),"0.000,00"))</f>
        <v>Utilizzo fidi cassa x Euro -132.726,58</v>
      </c>
      <c r="F106" s="103" t="str">
        <f>+IF(SUM(F99:F103)&gt;0,"Disponibilità Eur "&amp;TEXT(SUM(F99:F103),"0.000,00"),"Utilizzo fidi cassa x Euro "&amp;TEXT(SUM(F99:F103),"0.000,00"))</f>
        <v>Utilizzo fidi cassa x Euro -159.464,93</v>
      </c>
      <c r="G106" s="103" t="str">
        <f>+IF(SUM(G99:G104)&gt;0,"Disponibilità Eur "&amp;TEXT(SUM(G99:G104),"0.000,00"),"Utilizzo fidi cassa x Euro "&amp;TEXT(SUM(G99:G104),"0.000,00"))</f>
        <v>Utilizzo fidi cassa x Euro -251.155,88</v>
      </c>
      <c r="H106" s="103" t="str">
        <f t="shared" ref="H106" si="31">+IF(SUM(H99:H104)&gt;0,"Disponibilità Eur "&amp;TEXT(SUM(H99:H104),"0.000,00"),"Utilizzo fidi cassa x Euro "&amp;TEXT(SUM(H99:H104),"0.000,00"))</f>
        <v>Utilizzo fidi cassa x Euro -284.905,83</v>
      </c>
      <c r="I106" s="103" t="str">
        <f>+IF(SUM(I99:I104)&gt;0,"Disponibilità Eur "&amp;TEXT(SUM(I99:I104),"0.000,00"),"Utilizzo fidi cassa x Euro "&amp;TEXT(SUM(I99:I104),"0.000,00"))</f>
        <v>Utilizzo fidi cassa x Euro -328.152,78</v>
      </c>
    </row>
    <row r="107" spans="1:12" s="99" customFormat="1" ht="11.4" x14ac:dyDescent="0.4">
      <c r="A107" s="97" t="s">
        <v>56</v>
      </c>
      <c r="B107" s="98">
        <f>-B109-B111-B113+B99+B101+B102+B103</f>
        <v>154942.89199999999</v>
      </c>
      <c r="C107" s="98">
        <f t="shared" ref="C107" si="32">-C109-C111-C113+C99+C101+C102+C103</f>
        <v>169183.85199999996</v>
      </c>
      <c r="D107" s="98">
        <f>-D109-D111-D113-D115+D99+D101+D102+D103+D104</f>
        <v>108525.53199999995</v>
      </c>
      <c r="E107" s="98">
        <f>-E109-E111-E113-E115+E99+E101+E102+E103+E104</f>
        <v>47273.415333333251</v>
      </c>
      <c r="F107" s="98">
        <f>-F109-F111-F113-F115+F99+F101+F102+F103+F104</f>
        <v>20535.065333333259</v>
      </c>
      <c r="G107" s="98">
        <f>-G109-G111-G113-G115+G99+G101+G102+G103+G104</f>
        <v>-71155.884666666709</v>
      </c>
      <c r="H107" s="98">
        <f t="shared" ref="H107:I107" si="33">-H109-H111-H113-H115+H99+H101+H102+H103+H104</f>
        <v>-104905.83466666669</v>
      </c>
      <c r="I107" s="98">
        <f t="shared" si="33"/>
        <v>-148152.78466666676</v>
      </c>
    </row>
    <row r="108" spans="1:12" s="58" customFormat="1" x14ac:dyDescent="0.4">
      <c r="A108" s="72" t="s">
        <v>10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 s="96" customFormat="1" ht="14.1" x14ac:dyDescent="0.5">
      <c r="A109" s="75" t="str">
        <f>+A94</f>
        <v>UBI C/c</v>
      </c>
      <c r="B109" s="72">
        <v>-50000</v>
      </c>
      <c r="C109" s="72">
        <v>-50000</v>
      </c>
      <c r="D109" s="72">
        <v>-50000</v>
      </c>
      <c r="E109" s="72">
        <v>-50000</v>
      </c>
      <c r="F109" s="72">
        <v>-50000</v>
      </c>
      <c r="G109" s="72">
        <v>-50000</v>
      </c>
      <c r="H109" s="72">
        <v>-50000</v>
      </c>
      <c r="I109" s="72">
        <v>-50000</v>
      </c>
      <c r="J109" s="72"/>
      <c r="K109" s="72"/>
      <c r="L109" s="72"/>
    </row>
    <row r="110" spans="1:12" s="72" customFormat="1" x14ac:dyDescent="0.4">
      <c r="A110" s="75" t="str">
        <f>+A101</f>
        <v>UBI SBF</v>
      </c>
      <c r="B110" s="72">
        <v>-250000</v>
      </c>
      <c r="C110" s="72">
        <v>-250000</v>
      </c>
      <c r="D110" s="72">
        <v>-250000</v>
      </c>
      <c r="E110" s="72">
        <v>-250000</v>
      </c>
      <c r="F110" s="72">
        <v>-250000</v>
      </c>
      <c r="G110" s="72">
        <v>-250000</v>
      </c>
      <c r="H110" s="72">
        <v>-250000</v>
      </c>
      <c r="I110" s="72">
        <v>-250000</v>
      </c>
    </row>
    <row r="111" spans="1:12" s="72" customFormat="1" x14ac:dyDescent="0.4">
      <c r="A111" s="75" t="str">
        <f>+A95</f>
        <v>Intesa C/c</v>
      </c>
      <c r="B111" s="72">
        <v>-50000</v>
      </c>
      <c r="C111" s="72">
        <v>-50000</v>
      </c>
      <c r="D111" s="72">
        <v>-50000</v>
      </c>
      <c r="E111" s="72">
        <v>-50000</v>
      </c>
      <c r="F111" s="72">
        <v>-50000</v>
      </c>
      <c r="G111" s="72">
        <v>-50000</v>
      </c>
      <c r="H111" s="72">
        <v>-50000</v>
      </c>
      <c r="I111" s="72">
        <v>-50000</v>
      </c>
    </row>
    <row r="112" spans="1:12" s="72" customFormat="1" x14ac:dyDescent="0.4">
      <c r="A112" s="75" t="str">
        <f>+A102</f>
        <v>Intesa SBF</v>
      </c>
      <c r="B112" s="72">
        <v>-275000</v>
      </c>
      <c r="C112" s="72">
        <v>-275000</v>
      </c>
      <c r="D112" s="72">
        <v>-275000</v>
      </c>
      <c r="E112" s="72">
        <v>-275000</v>
      </c>
      <c r="F112" s="72">
        <v>-275000</v>
      </c>
      <c r="G112" s="72">
        <v>-275000</v>
      </c>
      <c r="H112" s="72">
        <v>-275000</v>
      </c>
      <c r="I112" s="72">
        <v>-275000</v>
      </c>
    </row>
    <row r="113" spans="1:12" s="72" customFormat="1" x14ac:dyDescent="0.4">
      <c r="A113" s="75" t="s">
        <v>63</v>
      </c>
      <c r="B113" s="72">
        <v>-40000</v>
      </c>
      <c r="C113" s="72">
        <v>-40000</v>
      </c>
      <c r="D113" s="72">
        <v>-40000</v>
      </c>
      <c r="E113" s="72">
        <v>-40000</v>
      </c>
      <c r="F113" s="72">
        <v>-40000</v>
      </c>
      <c r="G113" s="72">
        <v>-40000</v>
      </c>
      <c r="H113" s="72">
        <v>-40000</v>
      </c>
      <c r="I113" s="72">
        <v>-40000</v>
      </c>
    </row>
    <row r="114" spans="1:12" s="72" customFormat="1" x14ac:dyDescent="0.4">
      <c r="A114" s="75" t="s">
        <v>64</v>
      </c>
      <c r="B114" s="72">
        <v>-150000</v>
      </c>
      <c r="C114" s="72">
        <v>-150000</v>
      </c>
      <c r="D114" s="72">
        <v>-150000</v>
      </c>
      <c r="E114" s="72">
        <v>-150000</v>
      </c>
      <c r="F114" s="72">
        <v>-150000</v>
      </c>
      <c r="G114" s="72">
        <v>-150000</v>
      </c>
      <c r="H114" s="72">
        <v>-150000</v>
      </c>
      <c r="I114" s="72">
        <v>-150000</v>
      </c>
    </row>
    <row r="115" spans="1:12" s="72" customFormat="1" x14ac:dyDescent="0.4">
      <c r="A115" s="75" t="s">
        <v>70</v>
      </c>
      <c r="D115" s="72">
        <v>-40000</v>
      </c>
      <c r="E115" s="72">
        <v>-40000</v>
      </c>
      <c r="F115" s="72">
        <v>-40000</v>
      </c>
      <c r="G115" s="72">
        <v>-40000</v>
      </c>
      <c r="H115" s="72">
        <v>-40000</v>
      </c>
      <c r="I115" s="72">
        <v>-40000</v>
      </c>
    </row>
    <row r="116" spans="1:12" s="72" customFormat="1" x14ac:dyDescent="0.4">
      <c r="A116" s="75" t="s">
        <v>71</v>
      </c>
      <c r="D116" s="72">
        <v>-400000</v>
      </c>
      <c r="E116" s="72">
        <v>-400000</v>
      </c>
      <c r="F116" s="72">
        <v>-400000</v>
      </c>
      <c r="G116" s="72">
        <v>-400000</v>
      </c>
      <c r="H116" s="72">
        <v>-400000</v>
      </c>
      <c r="I116" s="72">
        <v>-400000</v>
      </c>
    </row>
    <row r="117" spans="1:12" s="72" customFormat="1" x14ac:dyDescent="0.4">
      <c r="A117" s="58" t="s">
        <v>11</v>
      </c>
      <c r="B117" s="58">
        <f t="shared" ref="B117:C117" si="34">SUM(B109:B114)</f>
        <v>-815000</v>
      </c>
      <c r="C117" s="58">
        <f t="shared" si="34"/>
        <v>-815000</v>
      </c>
      <c r="D117" s="58">
        <f>SUM(D109:D116)</f>
        <v>-1255000</v>
      </c>
      <c r="E117" s="58">
        <f>SUM(E109:E116)</f>
        <v>-1255000</v>
      </c>
      <c r="F117" s="58">
        <f>SUM(F109:F116)</f>
        <v>-1255000</v>
      </c>
      <c r="G117" s="58">
        <f t="shared" ref="G117:I117" si="35">SUM(G109:G116)</f>
        <v>-1255000</v>
      </c>
      <c r="H117" s="58">
        <f t="shared" si="35"/>
        <v>-1255000</v>
      </c>
      <c r="I117" s="58">
        <f t="shared" si="35"/>
        <v>-1255000</v>
      </c>
      <c r="J117" s="58"/>
      <c r="K117" s="58"/>
      <c r="L117" s="58"/>
    </row>
    <row r="118" spans="1:12" s="72" customFormat="1" x14ac:dyDescent="0.4">
      <c r="A118" s="58" t="s">
        <v>119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1:12" s="72" customFormat="1" x14ac:dyDescent="0.4">
      <c r="A119" s="58" t="s">
        <v>120</v>
      </c>
      <c r="B119" s="58">
        <f>+B109+B111+B113+B115</f>
        <v>-140000</v>
      </c>
      <c r="C119" s="58">
        <f t="shared" ref="C119:I119" si="36">+C109+C111+C113+C115</f>
        <v>-140000</v>
      </c>
      <c r="D119" s="58">
        <f t="shared" si="36"/>
        <v>-180000</v>
      </c>
      <c r="E119" s="58">
        <f t="shared" si="36"/>
        <v>-180000</v>
      </c>
      <c r="F119" s="58">
        <f t="shared" si="36"/>
        <v>-180000</v>
      </c>
      <c r="G119" s="58">
        <f t="shared" si="36"/>
        <v>-180000</v>
      </c>
      <c r="H119" s="58">
        <f t="shared" si="36"/>
        <v>-180000</v>
      </c>
      <c r="I119" s="58">
        <f t="shared" si="36"/>
        <v>-180000</v>
      </c>
      <c r="J119" s="58"/>
      <c r="K119" s="58"/>
      <c r="L119" s="58"/>
    </row>
    <row r="120" spans="1:12" s="72" customFormat="1" x14ac:dyDescent="0.4">
      <c r="A120" s="58" t="s">
        <v>121</v>
      </c>
      <c r="B120" s="58">
        <f>+B110+B112+B114+B116</f>
        <v>-675000</v>
      </c>
      <c r="C120" s="58">
        <f t="shared" ref="C120:I120" si="37">+C110+C112+C114+C116</f>
        <v>-675000</v>
      </c>
      <c r="D120" s="58">
        <f t="shared" si="37"/>
        <v>-1075000</v>
      </c>
      <c r="E120" s="58">
        <f t="shared" si="37"/>
        <v>-1075000</v>
      </c>
      <c r="F120" s="58">
        <f t="shared" si="37"/>
        <v>-1075000</v>
      </c>
      <c r="G120" s="58">
        <f t="shared" si="37"/>
        <v>-1075000</v>
      </c>
      <c r="H120" s="58">
        <f t="shared" si="37"/>
        <v>-1075000</v>
      </c>
      <c r="I120" s="58">
        <f t="shared" si="37"/>
        <v>-1075000</v>
      </c>
      <c r="J120" s="58"/>
      <c r="K120" s="58"/>
      <c r="L120" s="58"/>
    </row>
    <row r="121" spans="1:12" s="72" customFormat="1" x14ac:dyDescent="0.4"/>
    <row r="122" spans="1:12" s="101" customFormat="1" x14ac:dyDescent="0.4">
      <c r="A122" s="79" t="s">
        <v>57</v>
      </c>
      <c r="B122" s="100">
        <f t="shared" ref="B122:H122" si="38">IF(+SUM(B99:B104)/(B111+B109+B113)&gt;0,+SUM(B99:B104)/(B111+B109+B113+B115),0)</f>
        <v>0</v>
      </c>
      <c r="C122" s="100">
        <f t="shared" si="38"/>
        <v>0</v>
      </c>
      <c r="D122" s="100">
        <f t="shared" si="38"/>
        <v>0.39708037777777838</v>
      </c>
      <c r="E122" s="100">
        <f t="shared" si="38"/>
        <v>0.73736991481481529</v>
      </c>
      <c r="F122" s="100">
        <f t="shared" si="38"/>
        <v>0.885916303703704</v>
      </c>
      <c r="G122" s="100">
        <f t="shared" si="38"/>
        <v>1.3953104703703707</v>
      </c>
      <c r="H122" s="100">
        <f t="shared" si="38"/>
        <v>1.5828101925925928</v>
      </c>
      <c r="I122" s="100">
        <f>IF(+SUM(I99:I104)/(I111+I109+I113)&gt;0,+SUM(I99:I104)/(I111+I109+I113+I115),0)</f>
        <v>1.8230710259259264</v>
      </c>
      <c r="J122" s="79"/>
      <c r="K122" s="79"/>
      <c r="L122" s="79"/>
    </row>
    <row r="123" spans="1:12" s="58" customFormat="1" x14ac:dyDescent="0.4"/>
    <row r="124" spans="1:12" s="58" customFormat="1" x14ac:dyDescent="0.4">
      <c r="A124" s="58" t="s">
        <v>144</v>
      </c>
      <c r="B124" s="58">
        <f>+B105</f>
        <v>728942.82199999993</v>
      </c>
      <c r="C124" s="58">
        <f t="shared" ref="C124:I124" si="39">+C105</f>
        <v>684470.66199999989</v>
      </c>
      <c r="D124" s="58">
        <f t="shared" si="39"/>
        <v>708722.22199999995</v>
      </c>
      <c r="E124" s="58">
        <f t="shared" si="39"/>
        <v>779136.34533333313</v>
      </c>
      <c r="F124" s="58">
        <f t="shared" si="39"/>
        <v>763978.41533333331</v>
      </c>
      <c r="G124" s="58">
        <f t="shared" si="39"/>
        <v>750463.05533333321</v>
      </c>
      <c r="H124" s="58">
        <f t="shared" si="39"/>
        <v>709243.902</v>
      </c>
      <c r="I124" s="58">
        <f t="shared" si="39"/>
        <v>524390.30199999991</v>
      </c>
    </row>
    <row r="125" spans="1:12" s="58" customFormat="1" x14ac:dyDescent="0.4">
      <c r="A125" s="105" t="s">
        <v>142</v>
      </c>
      <c r="B125" s="106">
        <f>-+B120</f>
        <v>675000</v>
      </c>
      <c r="C125" s="106">
        <f t="shared" ref="C125:I125" si="40">-+C120</f>
        <v>675000</v>
      </c>
      <c r="D125" s="106">
        <f t="shared" si="40"/>
        <v>1075000</v>
      </c>
      <c r="E125" s="106">
        <f t="shared" si="40"/>
        <v>1075000</v>
      </c>
      <c r="F125" s="106">
        <f t="shared" si="40"/>
        <v>1075000</v>
      </c>
      <c r="G125" s="106">
        <f t="shared" si="40"/>
        <v>1075000</v>
      </c>
      <c r="H125" s="106">
        <f t="shared" si="40"/>
        <v>1075000</v>
      </c>
      <c r="I125" s="106">
        <f t="shared" si="40"/>
        <v>1075000</v>
      </c>
    </row>
    <row r="126" spans="1:12" s="109" customFormat="1" ht="14.1" x14ac:dyDescent="0.5">
      <c r="A126" s="121" t="s">
        <v>59</v>
      </c>
      <c r="B126" s="108">
        <f>+B125-B124</f>
        <v>-53942.821999999927</v>
      </c>
      <c r="C126" s="108">
        <f t="shared" ref="C126:I126" si="41">+C125-C124</f>
        <v>-9470.6619999998948</v>
      </c>
      <c r="D126" s="108">
        <f t="shared" si="41"/>
        <v>366277.77800000005</v>
      </c>
      <c r="E126" s="108">
        <f t="shared" si="41"/>
        <v>295863.65466666687</v>
      </c>
      <c r="F126" s="108">
        <f t="shared" si="41"/>
        <v>311021.58466666669</v>
      </c>
      <c r="G126" s="108">
        <f t="shared" si="41"/>
        <v>324536.94466666679</v>
      </c>
      <c r="H126" s="108">
        <f t="shared" si="41"/>
        <v>365756.098</v>
      </c>
      <c r="I126" s="108">
        <f t="shared" si="41"/>
        <v>550609.69800000009</v>
      </c>
      <c r="J126" s="107"/>
      <c r="K126" s="107"/>
      <c r="L126" s="107"/>
    </row>
    <row r="127" spans="1:12" s="125" customFormat="1" x14ac:dyDescent="0.4">
      <c r="A127" s="122" t="s">
        <v>143</v>
      </c>
      <c r="B127" s="124">
        <f>+B124/B125</f>
        <v>1.0799152918518518</v>
      </c>
      <c r="C127" s="124">
        <f t="shared" ref="C127:I127" si="42">+C124/C125</f>
        <v>1.0140306103703702</v>
      </c>
      <c r="D127" s="124">
        <f t="shared" si="42"/>
        <v>0.65927648558139529</v>
      </c>
      <c r="E127" s="124">
        <f t="shared" si="42"/>
        <v>0.72477799565891454</v>
      </c>
      <c r="F127" s="124">
        <f t="shared" si="42"/>
        <v>0.71067759565891475</v>
      </c>
      <c r="G127" s="124">
        <f t="shared" si="42"/>
        <v>0.69810516775193787</v>
      </c>
      <c r="H127" s="124">
        <f t="shared" si="42"/>
        <v>0.65976176930232555</v>
      </c>
      <c r="I127" s="124">
        <f t="shared" si="42"/>
        <v>0.48780493209302317</v>
      </c>
      <c r="J127" s="123"/>
      <c r="K127" s="123"/>
      <c r="L127" s="123"/>
    </row>
    <row r="128" spans="1:12" s="91" customFormat="1" x14ac:dyDescent="0.4">
      <c r="A128" s="126"/>
      <c r="B128" s="128"/>
      <c r="C128" s="128"/>
      <c r="D128" s="128"/>
      <c r="E128" s="128"/>
      <c r="F128" s="128"/>
      <c r="G128" s="128"/>
      <c r="H128" s="128"/>
      <c r="I128" s="128"/>
      <c r="J128" s="127"/>
      <c r="K128" s="127"/>
      <c r="L128" s="127"/>
    </row>
    <row r="129" spans="1:87" s="3" customFormat="1" x14ac:dyDescent="0.4">
      <c r="A129" s="6" t="s">
        <v>12</v>
      </c>
      <c r="B129" s="7"/>
      <c r="C129" s="7"/>
      <c r="D129" s="7"/>
      <c r="E129" s="7"/>
      <c r="F129" s="7"/>
      <c r="G129" s="7"/>
      <c r="H129" s="7"/>
      <c r="I129" s="7"/>
      <c r="J129" s="55"/>
      <c r="K129" s="55"/>
      <c r="L129" s="5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</row>
    <row r="130" spans="1:87" s="58" customFormat="1" x14ac:dyDescent="0.4">
      <c r="A130" s="72" t="s">
        <v>141</v>
      </c>
      <c r="B130" s="72">
        <f t="shared" ref="B130:I130" si="43">+B19+B22+B23+B26+B52</f>
        <v>10173.530000000028</v>
      </c>
      <c r="C130" s="72">
        <f t="shared" si="43"/>
        <v>81590.290000000008</v>
      </c>
      <c r="D130" s="72">
        <f t="shared" si="43"/>
        <v>13315.309999999998</v>
      </c>
      <c r="E130" s="72">
        <f t="shared" si="43"/>
        <v>70453.949999999983</v>
      </c>
      <c r="F130" s="72">
        <f t="shared" si="43"/>
        <v>10344.76999999996</v>
      </c>
      <c r="G130" s="72">
        <f t="shared" si="43"/>
        <v>-47702.399999999994</v>
      </c>
      <c r="H130" s="72">
        <f t="shared" si="43"/>
        <v>62988.393333333341</v>
      </c>
      <c r="I130" s="72">
        <f t="shared" si="43"/>
        <v>193622.83999999997</v>
      </c>
      <c r="J130" s="72"/>
      <c r="K130" s="72"/>
      <c r="L130" s="72"/>
    </row>
    <row r="131" spans="1:87" s="58" customFormat="1" x14ac:dyDescent="0.4">
      <c r="A131" s="72" t="s">
        <v>14</v>
      </c>
      <c r="B131" s="72">
        <f t="shared" ref="B131:I131" si="44">+B65</f>
        <v>-12722.880000000001</v>
      </c>
      <c r="C131" s="72">
        <f t="shared" si="44"/>
        <v>-12543.98</v>
      </c>
      <c r="D131" s="72">
        <f t="shared" si="44"/>
        <v>-11896.69</v>
      </c>
      <c r="E131" s="72">
        <f t="shared" si="44"/>
        <v>-41896.69</v>
      </c>
      <c r="F131" s="72">
        <f t="shared" si="44"/>
        <v>-11696.69</v>
      </c>
      <c r="G131" s="72">
        <f t="shared" si="44"/>
        <v>-161694.68999999997</v>
      </c>
      <c r="H131" s="72">
        <f t="shared" si="44"/>
        <v>-19192.690000000002</v>
      </c>
      <c r="I131" s="72">
        <f t="shared" si="44"/>
        <v>-36690.69</v>
      </c>
      <c r="J131" s="72"/>
      <c r="K131" s="72"/>
      <c r="L131" s="72"/>
    </row>
    <row r="132" spans="1:87" s="58" customFormat="1" x14ac:dyDescent="0.4">
      <c r="A132" s="58" t="s">
        <v>13</v>
      </c>
      <c r="B132" s="58">
        <f>+B131+B130</f>
        <v>-2549.3499999999731</v>
      </c>
      <c r="C132" s="58">
        <f t="shared" ref="C132:I132" si="45">+C131+C130</f>
        <v>69046.310000000012</v>
      </c>
      <c r="D132" s="58">
        <f t="shared" si="45"/>
        <v>1418.6199999999972</v>
      </c>
      <c r="E132" s="58">
        <f t="shared" si="45"/>
        <v>28557.25999999998</v>
      </c>
      <c r="F132" s="58">
        <f t="shared" si="45"/>
        <v>-1351.9200000000401</v>
      </c>
      <c r="G132" s="58">
        <f t="shared" si="45"/>
        <v>-209397.08999999997</v>
      </c>
      <c r="H132" s="58">
        <f t="shared" si="45"/>
        <v>43795.703333333338</v>
      </c>
      <c r="I132" s="58">
        <f t="shared" si="45"/>
        <v>156932.14999999997</v>
      </c>
      <c r="J132" s="72"/>
      <c r="K132" s="72"/>
      <c r="L132" s="72"/>
    </row>
    <row r="133" spans="1:87" s="58" customFormat="1" x14ac:dyDescent="0.4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87" s="110" customFormat="1" x14ac:dyDescent="0.4">
      <c r="A134" s="72" t="s">
        <v>15</v>
      </c>
      <c r="B134" s="72">
        <f t="shared" ref="B134:I134" si="46">+B25+B71</f>
        <v>-5070.47</v>
      </c>
      <c r="C134" s="72">
        <f t="shared" si="46"/>
        <v>-4933.1899999999996</v>
      </c>
      <c r="D134" s="72">
        <f t="shared" si="46"/>
        <v>-4928.5</v>
      </c>
      <c r="E134" s="72">
        <f t="shared" si="46"/>
        <v>-4828.5</v>
      </c>
      <c r="F134" s="72">
        <f t="shared" si="46"/>
        <v>-4828.5</v>
      </c>
      <c r="G134" s="72">
        <f t="shared" si="46"/>
        <v>136621.5</v>
      </c>
      <c r="H134" s="72">
        <f t="shared" si="46"/>
        <v>-9926.5</v>
      </c>
      <c r="I134" s="72">
        <f t="shared" si="46"/>
        <v>-9925.5</v>
      </c>
      <c r="J134" s="72"/>
      <c r="K134" s="72"/>
      <c r="L134" s="72"/>
    </row>
    <row r="135" spans="1:87" s="72" customFormat="1" x14ac:dyDescent="0.4">
      <c r="A135" s="72" t="s">
        <v>16</v>
      </c>
      <c r="B135" s="72">
        <f t="shared" ref="B135:I135" si="47">+B77</f>
        <v>-4822.96</v>
      </c>
      <c r="C135" s="72">
        <f t="shared" si="47"/>
        <v>0</v>
      </c>
      <c r="D135" s="72">
        <f t="shared" si="47"/>
        <v>-46000</v>
      </c>
      <c r="E135" s="72">
        <f t="shared" si="47"/>
        <v>-8995</v>
      </c>
      <c r="F135" s="72">
        <f t="shared" si="47"/>
        <v>0</v>
      </c>
      <c r="G135" s="72">
        <f t="shared" si="47"/>
        <v>0</v>
      </c>
      <c r="H135" s="72">
        <f t="shared" si="47"/>
        <v>0</v>
      </c>
      <c r="I135" s="72">
        <f t="shared" si="47"/>
        <v>0</v>
      </c>
    </row>
    <row r="136" spans="1:87" s="72" customFormat="1" x14ac:dyDescent="0.4">
      <c r="A136" s="72" t="s">
        <v>17</v>
      </c>
      <c r="B136" s="72">
        <f t="shared" ref="B136:I136" si="48">+B84+B24</f>
        <v>0</v>
      </c>
      <c r="C136" s="72">
        <f t="shared" si="48"/>
        <v>0</v>
      </c>
      <c r="D136" s="72">
        <f t="shared" si="48"/>
        <v>0</v>
      </c>
      <c r="E136" s="72">
        <f t="shared" si="48"/>
        <v>-120000</v>
      </c>
      <c r="F136" s="72">
        <f t="shared" si="48"/>
        <v>0</v>
      </c>
      <c r="G136" s="72">
        <f t="shared" si="48"/>
        <v>0</v>
      </c>
      <c r="H136" s="72">
        <f t="shared" si="48"/>
        <v>0</v>
      </c>
      <c r="I136" s="72">
        <f t="shared" si="48"/>
        <v>0</v>
      </c>
    </row>
    <row r="137" spans="1:87" s="72" customFormat="1" x14ac:dyDescent="0.4">
      <c r="A137" s="72" t="s">
        <v>18</v>
      </c>
      <c r="B137" s="72">
        <f t="shared" ref="B137:I137" si="49">+B81+B82+B83</f>
        <v>-48000</v>
      </c>
      <c r="C137" s="72">
        <f t="shared" si="49"/>
        <v>-5400</v>
      </c>
      <c r="D137" s="72">
        <f t="shared" si="49"/>
        <v>-75400</v>
      </c>
      <c r="E137" s="72">
        <f t="shared" si="49"/>
        <v>-26400</v>
      </c>
      <c r="F137" s="72">
        <f t="shared" si="49"/>
        <v>-5400</v>
      </c>
      <c r="G137" s="72">
        <f t="shared" si="49"/>
        <v>-5400</v>
      </c>
      <c r="H137" s="72">
        <f t="shared" si="49"/>
        <v>-26400</v>
      </c>
      <c r="I137" s="72">
        <f t="shared" si="49"/>
        <v>-5400</v>
      </c>
    </row>
    <row r="138" spans="1:87" s="58" customFormat="1" x14ac:dyDescent="0.4">
      <c r="A138" s="58" t="s">
        <v>19</v>
      </c>
      <c r="B138" s="58">
        <f>SUM(B132:B137)</f>
        <v>-60442.77999999997</v>
      </c>
      <c r="C138" s="58">
        <f t="shared" ref="C138:I138" si="50">SUM(C132:C137)</f>
        <v>58713.12000000001</v>
      </c>
      <c r="D138" s="58">
        <f t="shared" si="50"/>
        <v>-124909.88</v>
      </c>
      <c r="E138" s="58">
        <f t="shared" si="50"/>
        <v>-131666.24000000002</v>
      </c>
      <c r="F138" s="58">
        <f t="shared" si="50"/>
        <v>-11580.42000000004</v>
      </c>
      <c r="G138" s="58">
        <f t="shared" si="50"/>
        <v>-78175.589999999967</v>
      </c>
      <c r="H138" s="58">
        <f t="shared" si="50"/>
        <v>7469.2033333333384</v>
      </c>
      <c r="I138" s="58">
        <f t="shared" si="50"/>
        <v>141606.64999999997</v>
      </c>
    </row>
    <row r="139" spans="1:87" s="72" customFormat="1" x14ac:dyDescent="0.4">
      <c r="A139" s="72" t="s">
        <v>20</v>
      </c>
      <c r="B139" s="72">
        <f t="shared" ref="B139:I139" si="51">+B138-B98</f>
        <v>0</v>
      </c>
      <c r="C139" s="72">
        <f t="shared" si="51"/>
        <v>0</v>
      </c>
      <c r="D139" s="72">
        <f t="shared" si="51"/>
        <v>0</v>
      </c>
      <c r="E139" s="72">
        <f t="shared" si="51"/>
        <v>0</v>
      </c>
      <c r="F139" s="72">
        <f t="shared" si="51"/>
        <v>0</v>
      </c>
      <c r="G139" s="72">
        <f t="shared" si="51"/>
        <v>0</v>
      </c>
      <c r="H139" s="72">
        <f t="shared" si="51"/>
        <v>0</v>
      </c>
      <c r="I139" s="72">
        <f t="shared" si="51"/>
        <v>0</v>
      </c>
    </row>
    <row r="140" spans="1:87" s="72" customFormat="1" x14ac:dyDescent="0.4"/>
    <row r="141" spans="1:87" s="72" customFormat="1" x14ac:dyDescent="0.4"/>
    <row r="142" spans="1:87" s="119" customFormat="1" ht="14.1" x14ac:dyDescent="0.5">
      <c r="A142" s="118" t="s">
        <v>129</v>
      </c>
    </row>
    <row r="143" spans="1:87" s="72" customFormat="1" x14ac:dyDescent="0.4"/>
    <row r="144" spans="1:87" s="72" customFormat="1" x14ac:dyDescent="0.4">
      <c r="A144" s="58" t="s">
        <v>130</v>
      </c>
      <c r="J144" s="114" t="s">
        <v>45</v>
      </c>
    </row>
    <row r="145" spans="1:10" s="72" customFormat="1" x14ac:dyDescent="0.4">
      <c r="A145" s="72" t="s">
        <v>134</v>
      </c>
      <c r="C145" s="72">
        <f>+C107</f>
        <v>169183.85199999996</v>
      </c>
      <c r="D145" s="72">
        <f>-D115</f>
        <v>40000</v>
      </c>
    </row>
    <row r="146" spans="1:10" s="72" customFormat="1" x14ac:dyDescent="0.4">
      <c r="A146" s="72" t="s">
        <v>140</v>
      </c>
      <c r="D146" s="72">
        <f t="shared" ref="D146:I146" si="52">+D105-C105</f>
        <v>24251.560000000056</v>
      </c>
      <c r="E146" s="72">
        <f t="shared" si="52"/>
        <v>70414.123333333177</v>
      </c>
      <c r="F146" s="72">
        <f t="shared" si="52"/>
        <v>-15157.929999999818</v>
      </c>
      <c r="G146" s="72">
        <f t="shared" si="52"/>
        <v>-13515.360000000102</v>
      </c>
      <c r="H146" s="72">
        <f t="shared" si="52"/>
        <v>-41219.153333333205</v>
      </c>
      <c r="I146" s="72">
        <f t="shared" si="52"/>
        <v>-184853.60000000009</v>
      </c>
    </row>
    <row r="147" spans="1:10" s="72" customFormat="1" x14ac:dyDescent="0.4">
      <c r="A147" s="72" t="str">
        <f>+A132</f>
        <v xml:space="preserve">Saldo Gestione Corrente </v>
      </c>
      <c r="D147" s="72">
        <f t="shared" ref="D147:I147" si="53">+D132</f>
        <v>1418.6199999999972</v>
      </c>
      <c r="E147" s="72">
        <f t="shared" si="53"/>
        <v>28557.25999999998</v>
      </c>
      <c r="F147" s="72">
        <f t="shared" si="53"/>
        <v>-1351.9200000000401</v>
      </c>
      <c r="G147" s="72">
        <f t="shared" si="53"/>
        <v>-209397.08999999997</v>
      </c>
      <c r="H147" s="72">
        <f t="shared" si="53"/>
        <v>43795.703333333338</v>
      </c>
      <c r="I147" s="72">
        <f t="shared" si="53"/>
        <v>156932.14999999997</v>
      </c>
    </row>
    <row r="148" spans="1:10" s="72" customFormat="1" x14ac:dyDescent="0.4">
      <c r="A148" s="72" t="s">
        <v>133</v>
      </c>
      <c r="D148" s="72">
        <f t="shared" ref="D148:I148" si="54">+D25</f>
        <v>0</v>
      </c>
      <c r="E148" s="72">
        <f t="shared" si="54"/>
        <v>0</v>
      </c>
      <c r="F148" s="72">
        <f t="shared" si="54"/>
        <v>0</v>
      </c>
      <c r="G148" s="72">
        <f t="shared" si="54"/>
        <v>150000</v>
      </c>
      <c r="H148" s="72">
        <f t="shared" si="54"/>
        <v>0</v>
      </c>
      <c r="I148" s="72">
        <f t="shared" si="54"/>
        <v>0</v>
      </c>
    </row>
    <row r="149" spans="1:10" s="72" customFormat="1" x14ac:dyDescent="0.4">
      <c r="A149" s="72" t="str">
        <f>+A135</f>
        <v>Gestione Fiscale</v>
      </c>
      <c r="D149" s="72">
        <f t="shared" ref="D149:I151" si="55">+D135</f>
        <v>-46000</v>
      </c>
      <c r="E149" s="72">
        <f t="shared" si="55"/>
        <v>-8995</v>
      </c>
      <c r="F149" s="72">
        <f t="shared" si="55"/>
        <v>0</v>
      </c>
      <c r="G149" s="72">
        <f t="shared" si="55"/>
        <v>0</v>
      </c>
      <c r="H149" s="72">
        <f t="shared" si="55"/>
        <v>0</v>
      </c>
      <c r="I149" s="72">
        <f t="shared" si="55"/>
        <v>0</v>
      </c>
    </row>
    <row r="150" spans="1:10" s="72" customFormat="1" x14ac:dyDescent="0.4">
      <c r="A150" s="72" t="str">
        <f>+A136</f>
        <v>Saldo movimenti dei Mezzi Propri in conto Capitale</v>
      </c>
      <c r="D150" s="72">
        <f t="shared" si="55"/>
        <v>0</v>
      </c>
      <c r="E150" s="72">
        <f t="shared" si="55"/>
        <v>-120000</v>
      </c>
      <c r="F150" s="72">
        <f t="shared" si="55"/>
        <v>0</v>
      </c>
      <c r="G150" s="72">
        <f t="shared" si="55"/>
        <v>0</v>
      </c>
      <c r="H150" s="72">
        <f t="shared" si="55"/>
        <v>0</v>
      </c>
      <c r="I150" s="72">
        <f t="shared" si="55"/>
        <v>0</v>
      </c>
    </row>
    <row r="151" spans="1:10" s="72" customFormat="1" x14ac:dyDescent="0.4">
      <c r="A151" s="72" t="str">
        <f>+A137</f>
        <v>Saldo movimenti dei Mezzi Propri in conto Utili</v>
      </c>
      <c r="D151" s="72">
        <f t="shared" si="55"/>
        <v>-75400</v>
      </c>
      <c r="E151" s="72">
        <f t="shared" si="55"/>
        <v>-26400</v>
      </c>
      <c r="F151" s="72">
        <f t="shared" si="55"/>
        <v>-5400</v>
      </c>
      <c r="G151" s="72">
        <f t="shared" si="55"/>
        <v>-5400</v>
      </c>
      <c r="H151" s="72">
        <f t="shared" si="55"/>
        <v>-26400</v>
      </c>
      <c r="I151" s="72">
        <f t="shared" si="55"/>
        <v>-5400</v>
      </c>
    </row>
    <row r="152" spans="1:10" s="80" customFormat="1" x14ac:dyDescent="0.4">
      <c r="A152" s="80" t="s">
        <v>137</v>
      </c>
      <c r="C152" s="80">
        <f>+C145</f>
        <v>169183.85199999996</v>
      </c>
      <c r="D152" s="80">
        <f t="shared" ref="D152:I152" si="56">SUM(D145:D151)</f>
        <v>-55729.819999999949</v>
      </c>
      <c r="E152" s="80">
        <f t="shared" si="56"/>
        <v>-56423.616666666843</v>
      </c>
      <c r="F152" s="80">
        <f t="shared" si="56"/>
        <v>-21909.84999999986</v>
      </c>
      <c r="G152" s="80">
        <f t="shared" si="56"/>
        <v>-78312.45000000007</v>
      </c>
      <c r="H152" s="80">
        <f t="shared" si="56"/>
        <v>-23823.449999999866</v>
      </c>
      <c r="I152" s="80">
        <f t="shared" si="56"/>
        <v>-33321.450000000128</v>
      </c>
      <c r="J152" s="80">
        <f>SUM(C152:I152)</f>
        <v>-100336.78466666676</v>
      </c>
    </row>
    <row r="153" spans="1:10" s="72" customFormat="1" x14ac:dyDescent="0.4">
      <c r="A153" s="112"/>
    </row>
    <row r="154" spans="1:10" s="72" customFormat="1" x14ac:dyDescent="0.4">
      <c r="A154" s="113" t="s">
        <v>131</v>
      </c>
    </row>
    <row r="155" spans="1:10" s="72" customFormat="1" x14ac:dyDescent="0.4">
      <c r="A155" s="72" t="s">
        <v>132</v>
      </c>
      <c r="D155" s="72">
        <f t="shared" ref="D155:I155" si="57">+D71</f>
        <v>-4928.5</v>
      </c>
      <c r="E155" s="72">
        <f t="shared" si="57"/>
        <v>-4828.5</v>
      </c>
      <c r="F155" s="72">
        <f t="shared" si="57"/>
        <v>-4828.5</v>
      </c>
      <c r="G155" s="72">
        <f t="shared" si="57"/>
        <v>-13378.5</v>
      </c>
      <c r="H155" s="72">
        <f t="shared" si="57"/>
        <v>-9926.5</v>
      </c>
      <c r="I155" s="72">
        <f t="shared" si="57"/>
        <v>-9925.5</v>
      </c>
    </row>
    <row r="156" spans="1:10" s="58" customFormat="1" x14ac:dyDescent="0.4">
      <c r="A156" s="80" t="s">
        <v>138</v>
      </c>
      <c r="D156" s="58">
        <f>SUM(D155)</f>
        <v>-4928.5</v>
      </c>
      <c r="E156" s="58">
        <f t="shared" ref="E156:I156" si="58">SUM(E155)</f>
        <v>-4828.5</v>
      </c>
      <c r="F156" s="58">
        <f t="shared" si="58"/>
        <v>-4828.5</v>
      </c>
      <c r="G156" s="58">
        <f t="shared" si="58"/>
        <v>-13378.5</v>
      </c>
      <c r="H156" s="58">
        <f t="shared" si="58"/>
        <v>-9926.5</v>
      </c>
      <c r="I156" s="58">
        <f t="shared" si="58"/>
        <v>-9925.5</v>
      </c>
      <c r="J156" s="58">
        <f>SUM(D156:I156)</f>
        <v>-47816</v>
      </c>
    </row>
    <row r="157" spans="1:10" s="58" customFormat="1" x14ac:dyDescent="0.4">
      <c r="A157" s="80"/>
    </row>
    <row r="158" spans="1:10" s="115" customFormat="1" ht="14.1" x14ac:dyDescent="0.5">
      <c r="A158" s="116" t="s">
        <v>136</v>
      </c>
      <c r="J158" s="117">
        <f>+J152/-J156</f>
        <v>-2.0983935223913912</v>
      </c>
    </row>
    <row r="159" spans="1:10" s="72" customFormat="1" x14ac:dyDescent="0.4"/>
    <row r="160" spans="1:10" s="72" customFormat="1" hidden="1" x14ac:dyDescent="0.4"/>
    <row r="161" spans="1:10" s="72" customFormat="1" x14ac:dyDescent="0.4">
      <c r="A161" s="80" t="s">
        <v>139</v>
      </c>
      <c r="C161" s="72">
        <f>+C152</f>
        <v>169183.85199999996</v>
      </c>
      <c r="D161" s="72">
        <f>+D152+D156</f>
        <v>-60658.319999999949</v>
      </c>
      <c r="E161" s="72">
        <f t="shared" ref="E161:I161" si="59">+E152+E156</f>
        <v>-61252.116666666843</v>
      </c>
      <c r="F161" s="72">
        <f t="shared" si="59"/>
        <v>-26738.34999999986</v>
      </c>
      <c r="G161" s="72">
        <f t="shared" si="59"/>
        <v>-91690.95000000007</v>
      </c>
      <c r="H161" s="72">
        <f t="shared" si="59"/>
        <v>-33749.949999999866</v>
      </c>
      <c r="I161" s="72">
        <f t="shared" si="59"/>
        <v>-43246.950000000128</v>
      </c>
      <c r="J161" s="72">
        <f>SUM(C161:I161)</f>
        <v>-148152.78466666676</v>
      </c>
    </row>
    <row r="162" spans="1:10" s="72" customFormat="1" x14ac:dyDescent="0.4"/>
    <row r="163" spans="1:10" s="72" customFormat="1" x14ac:dyDescent="0.4">
      <c r="J163" s="58">
        <f>+I107</f>
        <v>-148152.78466666676</v>
      </c>
    </row>
    <row r="164" spans="1:10" s="72" customFormat="1" x14ac:dyDescent="0.4">
      <c r="I164" s="80" t="s">
        <v>135</v>
      </c>
      <c r="J164" s="58">
        <f>+J163-J161</f>
        <v>0</v>
      </c>
    </row>
    <row r="165" spans="1:10" s="72" customFormat="1" x14ac:dyDescent="0.4"/>
    <row r="166" spans="1:10" s="72" customFormat="1" x14ac:dyDescent="0.4"/>
    <row r="167" spans="1:10" s="72" customFormat="1" x14ac:dyDescent="0.4"/>
    <row r="168" spans="1:10" s="72" customFormat="1" x14ac:dyDescent="0.4"/>
    <row r="169" spans="1:10" s="72" customFormat="1" x14ac:dyDescent="0.4"/>
    <row r="170" spans="1:10" s="72" customFormat="1" x14ac:dyDescent="0.4"/>
    <row r="171" spans="1:10" s="72" customFormat="1" x14ac:dyDescent="0.4"/>
    <row r="172" spans="1:10" s="72" customFormat="1" x14ac:dyDescent="0.4"/>
    <row r="173" spans="1:10" s="72" customFormat="1" x14ac:dyDescent="0.4"/>
    <row r="174" spans="1:10" s="72" customFormat="1" x14ac:dyDescent="0.4"/>
    <row r="175" spans="1:10" s="72" customFormat="1" x14ac:dyDescent="0.4"/>
    <row r="176" spans="1:10" s="72" customFormat="1" x14ac:dyDescent="0.4"/>
    <row r="177" s="72" customFormat="1" x14ac:dyDescent="0.4"/>
    <row r="178" s="72" customFormat="1" x14ac:dyDescent="0.4"/>
    <row r="179" s="72" customFormat="1" x14ac:dyDescent="0.4"/>
    <row r="180" s="72" customFormat="1" x14ac:dyDescent="0.4"/>
    <row r="181" s="72" customFormat="1" x14ac:dyDescent="0.4"/>
    <row r="182" s="72" customFormat="1" x14ac:dyDescent="0.4"/>
    <row r="183" s="72" customFormat="1" x14ac:dyDescent="0.4"/>
    <row r="184" s="72" customFormat="1" x14ac:dyDescent="0.4"/>
    <row r="185" s="72" customFormat="1" x14ac:dyDescent="0.4"/>
    <row r="186" s="72" customFormat="1" x14ac:dyDescent="0.4"/>
    <row r="187" s="72" customFormat="1" x14ac:dyDescent="0.4"/>
    <row r="188" s="72" customFormat="1" x14ac:dyDescent="0.4"/>
    <row r="189" s="72" customFormat="1" x14ac:dyDescent="0.4"/>
    <row r="190" s="72" customFormat="1" x14ac:dyDescent="0.4"/>
    <row r="191" s="72" customFormat="1" x14ac:dyDescent="0.4"/>
    <row r="192" s="72" customFormat="1" x14ac:dyDescent="0.4"/>
    <row r="193" s="72" customFormat="1" x14ac:dyDescent="0.4"/>
    <row r="194" s="72" customFormat="1" x14ac:dyDescent="0.4"/>
    <row r="195" s="72" customFormat="1" x14ac:dyDescent="0.4"/>
    <row r="196" s="72" customFormat="1" x14ac:dyDescent="0.4"/>
    <row r="197" s="72" customFormat="1" x14ac:dyDescent="0.4"/>
    <row r="198" s="72" customFormat="1" x14ac:dyDescent="0.4"/>
    <row r="199" s="72" customFormat="1" x14ac:dyDescent="0.4"/>
    <row r="200" s="72" customFormat="1" x14ac:dyDescent="0.4"/>
    <row r="201" s="72" customFormat="1" x14ac:dyDescent="0.4"/>
    <row r="202" s="72" customFormat="1" x14ac:dyDescent="0.4"/>
    <row r="203" s="72" customFormat="1" x14ac:dyDescent="0.4"/>
    <row r="204" s="72" customFormat="1" x14ac:dyDescent="0.4"/>
    <row r="205" s="72" customFormat="1" x14ac:dyDescent="0.4"/>
    <row r="206" s="72" customFormat="1" x14ac:dyDescent="0.4"/>
    <row r="207" s="72" customFormat="1" x14ac:dyDescent="0.4"/>
    <row r="208" s="72" customFormat="1" x14ac:dyDescent="0.4"/>
    <row r="209" s="72" customFormat="1" x14ac:dyDescent="0.4"/>
    <row r="210" s="72" customFormat="1" x14ac:dyDescent="0.4"/>
    <row r="211" s="72" customFormat="1" x14ac:dyDescent="0.4"/>
    <row r="212" s="72" customFormat="1" x14ac:dyDescent="0.4"/>
    <row r="213" s="72" customFormat="1" x14ac:dyDescent="0.4"/>
  </sheetData>
  <phoneticPr fontId="0" type="noConversion"/>
  <printOptions horizontalCentered="1" verticalCentered="1" gridLines="1"/>
  <pageMargins left="0.11811023622047245" right="0.47244094488188981" top="0.15748031496062992" bottom="0.15748031496062992" header="0.15748031496062992" footer="0.15748031496062992"/>
  <pageSetup paperSize="9" scale="80" orientation="landscape" horizontalDpi="4294967293" verticalDpi="300" r:id="rId1"/>
  <headerFooter alignWithMargins="0">
    <oddHeader>&amp;CCaso M</oddHeader>
    <oddFooter>&amp;RPag. &amp;P di &amp;N</oddFooter>
  </headerFooter>
  <rowBreaks count="3" manualBreakCount="3">
    <brk id="27" max="34" man="1"/>
    <brk id="90" max="34" man="1"/>
    <brk id="12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Dettaglio RIBANov19</vt:lpstr>
      <vt:lpstr>Novembre 19</vt:lpstr>
      <vt:lpstr>'Dettaglio RIBANov19'!Area_stampa</vt:lpstr>
      <vt:lpstr>'Novembre 19'!Area_stampa</vt:lpstr>
    </vt:vector>
  </TitlesOfParts>
  <Company>S.I.C.R.A.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 di Manerbio</dc:creator>
  <cp:lastModifiedBy>Ivan Fogliata</cp:lastModifiedBy>
  <cp:lastPrinted>2015-06-22T09:03:40Z</cp:lastPrinted>
  <dcterms:created xsi:type="dcterms:W3CDTF">1999-11-02T14:26:13Z</dcterms:created>
  <dcterms:modified xsi:type="dcterms:W3CDTF">2020-05-03T14:17:11Z</dcterms:modified>
</cp:coreProperties>
</file>