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Webinars\Le Village Contingency\"/>
    </mc:Choice>
  </mc:AlternateContent>
  <xr:revisionPtr revIDLastSave="0" documentId="13_ncr:1_{D34378AD-6D6B-4147-970A-EA11E1243468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C.E. Contingency" sheetId="4" r:id="rId1"/>
    <sheet name="S.P. Contingency" sheetId="5" r:id="rId2"/>
    <sheet name="Cash Flow" sheetId="6" r:id="rId3"/>
    <sheet name="Refinancing plan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7" i="4" l="1"/>
  <c r="D3" i="5"/>
  <c r="H46" i="4" l="1"/>
  <c r="I14" i="4" l="1"/>
  <c r="F42" i="5" l="1"/>
  <c r="F22" i="5" l="1"/>
  <c r="F37" i="5"/>
  <c r="F33" i="5"/>
  <c r="F34" i="5"/>
  <c r="F35" i="5"/>
  <c r="F19" i="5"/>
  <c r="F20" i="5"/>
  <c r="F18" i="5"/>
  <c r="F9" i="5"/>
  <c r="B8" i="4"/>
  <c r="B10" i="4" s="1"/>
  <c r="B11" i="4" s="1"/>
  <c r="E8" i="4"/>
  <c r="B121" i="4"/>
  <c r="E121" i="4"/>
  <c r="H121" i="4"/>
  <c r="B116" i="4"/>
  <c r="E116" i="4"/>
  <c r="B112" i="4"/>
  <c r="E112" i="4"/>
  <c r="B98" i="4"/>
  <c r="E98" i="4"/>
  <c r="B95" i="4"/>
  <c r="E95" i="4"/>
  <c r="B80" i="4"/>
  <c r="E80" i="4"/>
  <c r="B75" i="4"/>
  <c r="E75" i="4"/>
  <c r="B73" i="4"/>
  <c r="E73" i="4"/>
  <c r="B71" i="4"/>
  <c r="E71" i="4"/>
  <c r="B45" i="4"/>
  <c r="E45" i="4"/>
  <c r="B42" i="4"/>
  <c r="E42" i="4"/>
  <c r="E10" i="4" l="1"/>
  <c r="E58" i="4" s="1"/>
  <c r="B123" i="4"/>
  <c r="E106" i="4"/>
  <c r="B106" i="4"/>
  <c r="E123" i="4"/>
  <c r="B16" i="4"/>
  <c r="B17" i="4"/>
  <c r="B28" i="4"/>
  <c r="B18" i="4"/>
  <c r="B29" i="4"/>
  <c r="B31" i="4"/>
  <c r="B15" i="4"/>
  <c r="B35" i="4"/>
  <c r="B14" i="4"/>
  <c r="B23" i="4"/>
  <c r="B40" i="4"/>
  <c r="B21" i="4"/>
  <c r="B24" i="4"/>
  <c r="B41" i="4"/>
  <c r="B20" i="4"/>
  <c r="B25" i="4"/>
  <c r="B57" i="4"/>
  <c r="B19" i="4"/>
  <c r="B27" i="4"/>
  <c r="B58" i="4"/>
  <c r="B30" i="4"/>
  <c r="B39" i="4"/>
  <c r="D6" i="5"/>
  <c r="F6" i="5" s="1"/>
  <c r="F3" i="5"/>
  <c r="H104" i="4"/>
  <c r="M104" i="4" s="1"/>
  <c r="H103" i="4"/>
  <c r="M103" i="4" s="1"/>
  <c r="H102" i="4"/>
  <c r="M102" i="4" s="1"/>
  <c r="H101" i="4"/>
  <c r="M101" i="4" s="1"/>
  <c r="H100" i="4"/>
  <c r="M100" i="4" s="1"/>
  <c r="H99" i="4"/>
  <c r="H94" i="4"/>
  <c r="H81" i="4"/>
  <c r="H74" i="4"/>
  <c r="M74" i="4" s="1"/>
  <c r="H47" i="4"/>
  <c r="M47" i="4" s="1"/>
  <c r="H48" i="4"/>
  <c r="M48" i="4" s="1"/>
  <c r="H49" i="4"/>
  <c r="M49" i="4" s="1"/>
  <c r="H50" i="4"/>
  <c r="M50" i="4" s="1"/>
  <c r="G6" i="5"/>
  <c r="G3" i="5" s="1"/>
  <c r="G9" i="5"/>
  <c r="L122" i="4"/>
  <c r="D42" i="5"/>
  <c r="E33" i="5"/>
  <c r="D12" i="5"/>
  <c r="F12" i="5" s="1"/>
  <c r="E8" i="5"/>
  <c r="B16" i="6"/>
  <c r="E35" i="5"/>
  <c r="D26" i="5"/>
  <c r="B10" i="6"/>
  <c r="E26" i="5"/>
  <c r="C26" i="5"/>
  <c r="E19" i="4" l="1"/>
  <c r="E24" i="4"/>
  <c r="E41" i="4"/>
  <c r="E14" i="4"/>
  <c r="E17" i="4"/>
  <c r="E35" i="4"/>
  <c r="E29" i="4"/>
  <c r="E30" i="4"/>
  <c r="E20" i="4"/>
  <c r="E57" i="4"/>
  <c r="E27" i="4"/>
  <c r="E15" i="4"/>
  <c r="E28" i="4"/>
  <c r="E40" i="4"/>
  <c r="E39" i="4"/>
  <c r="E23" i="4"/>
  <c r="E11" i="4"/>
  <c r="E21" i="4"/>
  <c r="E16" i="4"/>
  <c r="E25" i="4"/>
  <c r="E31" i="4"/>
  <c r="E18" i="4"/>
  <c r="M99" i="4"/>
  <c r="H98" i="4"/>
  <c r="B34" i="4"/>
  <c r="B52" i="4" s="1"/>
  <c r="B56" i="4"/>
  <c r="B78" i="4" s="1"/>
  <c r="B13" i="4"/>
  <c r="B26" i="4"/>
  <c r="B22" i="4"/>
  <c r="B25" i="6"/>
  <c r="E37" i="5"/>
  <c r="E34" i="4" l="1"/>
  <c r="E52" i="4" s="1"/>
  <c r="E26" i="4"/>
  <c r="E56" i="4"/>
  <c r="E13" i="4"/>
  <c r="E22" i="4"/>
  <c r="B32" i="4"/>
  <c r="B54" i="4" s="1"/>
  <c r="B108" i="4" s="1"/>
  <c r="B110" i="4" s="1"/>
  <c r="E32" i="4" l="1"/>
  <c r="E54" i="4" s="1"/>
  <c r="E78" i="4"/>
  <c r="B125" i="4"/>
  <c r="B127" i="4" s="1"/>
  <c r="J122" i="4"/>
  <c r="J127" i="4" s="1"/>
  <c r="L119" i="4"/>
  <c r="L118" i="4"/>
  <c r="L117" i="4"/>
  <c r="L115" i="4"/>
  <c r="L114" i="4"/>
  <c r="L113" i="4"/>
  <c r="L104" i="4"/>
  <c r="L103" i="4"/>
  <c r="L102" i="4"/>
  <c r="L101" i="4"/>
  <c r="L100" i="4"/>
  <c r="L99" i="4"/>
  <c r="L97" i="4"/>
  <c r="L96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76" i="4"/>
  <c r="L74" i="4"/>
  <c r="L51" i="4"/>
  <c r="L50" i="4"/>
  <c r="L49" i="4"/>
  <c r="L48" i="4"/>
  <c r="L47" i="4"/>
  <c r="L46" i="4"/>
  <c r="L72" i="4"/>
  <c r="L70" i="4"/>
  <c r="L69" i="4"/>
  <c r="L68" i="4"/>
  <c r="L67" i="4"/>
  <c r="L66" i="4"/>
  <c r="L65" i="4"/>
  <c r="L64" i="4"/>
  <c r="L63" i="4"/>
  <c r="L62" i="4"/>
  <c r="L61" i="4"/>
  <c r="L60" i="4"/>
  <c r="L59" i="4"/>
  <c r="L44" i="4"/>
  <c r="L43" i="4"/>
  <c r="L38" i="4"/>
  <c r="L37" i="4"/>
  <c r="L36" i="4"/>
  <c r="H75" i="4"/>
  <c r="B22" i="6" s="1"/>
  <c r="H73" i="4"/>
  <c r="D2" i="5" s="1"/>
  <c r="H71" i="4"/>
  <c r="H51" i="4"/>
  <c r="H116" i="4"/>
  <c r="B21" i="6" s="1"/>
  <c r="H112" i="4"/>
  <c r="B15" i="6" s="1"/>
  <c r="H42" i="4" l="1"/>
  <c r="E108" i="4"/>
  <c r="C127" i="4"/>
  <c r="B129" i="4"/>
  <c r="C129" i="4" s="1"/>
  <c r="M51" i="4"/>
  <c r="H45" i="4"/>
  <c r="E2" i="5"/>
  <c r="H10" i="4"/>
  <c r="H23" i="4" s="1"/>
  <c r="E11" i="5"/>
  <c r="F11" i="5" s="1"/>
  <c r="H80" i="4"/>
  <c r="H95" i="4"/>
  <c r="H123" i="4"/>
  <c r="C106" i="4"/>
  <c r="F94" i="4"/>
  <c r="C89" i="4"/>
  <c r="C87" i="4"/>
  <c r="F86" i="4"/>
  <c r="F81" i="4"/>
  <c r="F80" i="4"/>
  <c r="F73" i="4"/>
  <c r="F72" i="4"/>
  <c r="F70" i="4"/>
  <c r="F68" i="4"/>
  <c r="C66" i="4"/>
  <c r="F59" i="4"/>
  <c r="F56" i="4"/>
  <c r="F52" i="4"/>
  <c r="C51" i="4"/>
  <c r="C49" i="4"/>
  <c r="F48" i="4"/>
  <c r="C48" i="4"/>
  <c r="C45" i="4"/>
  <c r="C43" i="4"/>
  <c r="F42" i="4"/>
  <c r="F37" i="4"/>
  <c r="F34" i="4"/>
  <c r="C34" i="4"/>
  <c r="C32" i="4"/>
  <c r="C26" i="4"/>
  <c r="F22" i="4"/>
  <c r="C22" i="4"/>
  <c r="F13" i="4"/>
  <c r="F11" i="4"/>
  <c r="C11" i="4"/>
  <c r="F10" i="4"/>
  <c r="F101" i="4"/>
  <c r="F9" i="4"/>
  <c r="C9" i="4"/>
  <c r="F8" i="4"/>
  <c r="C8" i="4"/>
  <c r="F7" i="4"/>
  <c r="C7" i="4"/>
  <c r="E32" i="5" l="1"/>
  <c r="F32" i="5" s="1"/>
  <c r="H16" i="4"/>
  <c r="H20" i="4"/>
  <c r="I61" i="4"/>
  <c r="I73" i="4"/>
  <c r="I118" i="4"/>
  <c r="I64" i="4"/>
  <c r="I70" i="4"/>
  <c r="I42" i="4"/>
  <c r="H28" i="4"/>
  <c r="I67" i="4"/>
  <c r="I88" i="4"/>
  <c r="H57" i="4"/>
  <c r="I36" i="4"/>
  <c r="I119" i="4"/>
  <c r="H39" i="4"/>
  <c r="I38" i="4"/>
  <c r="I122" i="4"/>
  <c r="H19" i="4"/>
  <c r="I65" i="4"/>
  <c r="I89" i="4"/>
  <c r="I114" i="4"/>
  <c r="I92" i="4"/>
  <c r="I47" i="4"/>
  <c r="I37" i="4"/>
  <c r="I86" i="4"/>
  <c r="I9" i="4"/>
  <c r="I115" i="4"/>
  <c r="I113" i="4"/>
  <c r="I50" i="4"/>
  <c r="I112" i="4"/>
  <c r="E110" i="4"/>
  <c r="F110" i="4" s="1"/>
  <c r="I8" i="4"/>
  <c r="I51" i="4"/>
  <c r="I117" i="4"/>
  <c r="I93" i="4"/>
  <c r="I62" i="4"/>
  <c r="I102" i="4"/>
  <c r="I59" i="4"/>
  <c r="I66" i="4"/>
  <c r="I100" i="4"/>
  <c r="H29" i="4"/>
  <c r="I10" i="4"/>
  <c r="I43" i="4"/>
  <c r="I97" i="4"/>
  <c r="I75" i="4"/>
  <c r="I44" i="4"/>
  <c r="I94" i="4"/>
  <c r="I120" i="4"/>
  <c r="H11" i="4"/>
  <c r="H140" i="4" s="1"/>
  <c r="H35" i="4"/>
  <c r="I103" i="4"/>
  <c r="I99" i="4"/>
  <c r="I90" i="4"/>
  <c r="I81" i="4"/>
  <c r="I116" i="4"/>
  <c r="I121" i="4"/>
  <c r="I76" i="4"/>
  <c r="I74" i="4"/>
  <c r="H18" i="4"/>
  <c r="I7" i="4"/>
  <c r="H24" i="4"/>
  <c r="I87" i="4"/>
  <c r="I91" i="4"/>
  <c r="I82" i="4"/>
  <c r="I71" i="4"/>
  <c r="I104" i="4"/>
  <c r="I101" i="4"/>
  <c r="I68" i="4"/>
  <c r="I49" i="4"/>
  <c r="I84" i="4"/>
  <c r="I48" i="4"/>
  <c r="H40" i="4"/>
  <c r="I69" i="4"/>
  <c r="I83" i="4"/>
  <c r="I72" i="4"/>
  <c r="I63" i="4"/>
  <c r="I96" i="4"/>
  <c r="I85" i="4"/>
  <c r="I60" i="4"/>
  <c r="H17" i="4"/>
  <c r="H30" i="4"/>
  <c r="D40" i="5"/>
  <c r="E40" i="5" s="1"/>
  <c r="H27" i="4"/>
  <c r="H58" i="4"/>
  <c r="H41" i="4"/>
  <c r="I123" i="4"/>
  <c r="H15" i="4"/>
  <c r="I98" i="4"/>
  <c r="I95" i="4"/>
  <c r="I80" i="4"/>
  <c r="H106" i="4"/>
  <c r="C24" i="5"/>
  <c r="E31" i="5"/>
  <c r="F31" i="5" s="1"/>
  <c r="F49" i="4"/>
  <c r="C122" i="4"/>
  <c r="C120" i="4"/>
  <c r="C118" i="4"/>
  <c r="C116" i="4"/>
  <c r="C114" i="4"/>
  <c r="C112" i="4"/>
  <c r="C108" i="4"/>
  <c r="C104" i="4"/>
  <c r="C102" i="4"/>
  <c r="C100" i="4"/>
  <c r="C98" i="4"/>
  <c r="C96" i="4"/>
  <c r="C94" i="4"/>
  <c r="C92" i="4"/>
  <c r="C90" i="4"/>
  <c r="C88" i="4"/>
  <c r="C86" i="4"/>
  <c r="C85" i="4"/>
  <c r="C83" i="4"/>
  <c r="C81" i="4"/>
  <c r="C78" i="4"/>
  <c r="C75" i="4"/>
  <c r="C73" i="4"/>
  <c r="C71" i="4"/>
  <c r="C69" i="4"/>
  <c r="C67" i="4"/>
  <c r="C65" i="4"/>
  <c r="C63" i="4"/>
  <c r="C99" i="4"/>
  <c r="C68" i="4"/>
  <c r="C117" i="4"/>
  <c r="C93" i="4"/>
  <c r="C80" i="4"/>
  <c r="C62" i="4"/>
  <c r="C59" i="4"/>
  <c r="C119" i="4"/>
  <c r="C91" i="4"/>
  <c r="C76" i="4"/>
  <c r="C101" i="4"/>
  <c r="C70" i="4"/>
  <c r="C95" i="4"/>
  <c r="C74" i="4"/>
  <c r="C72" i="4"/>
  <c r="C60" i="4"/>
  <c r="C56" i="4"/>
  <c r="C46" i="4"/>
  <c r="C82" i="4"/>
  <c r="C61" i="4"/>
  <c r="C50" i="4"/>
  <c r="C125" i="4"/>
  <c r="C115" i="4"/>
  <c r="C110" i="4"/>
  <c r="C121" i="4"/>
  <c r="C113" i="4"/>
  <c r="C103" i="4"/>
  <c r="C84" i="4"/>
  <c r="C64" i="4"/>
  <c r="F36" i="4"/>
  <c r="C47" i="4"/>
  <c r="F89" i="4"/>
  <c r="F100" i="4"/>
  <c r="F113" i="4"/>
  <c r="F74" i="4"/>
  <c r="C10" i="4"/>
  <c r="F32" i="4"/>
  <c r="F69" i="4"/>
  <c r="F76" i="4"/>
  <c r="F84" i="4"/>
  <c r="C97" i="4"/>
  <c r="F91" i="4"/>
  <c r="C13" i="4"/>
  <c r="C38" i="4"/>
  <c r="F45" i="4"/>
  <c r="F46" i="4"/>
  <c r="C54" i="4"/>
  <c r="F26" i="4"/>
  <c r="F121" i="4"/>
  <c r="F38" i="4"/>
  <c r="C52" i="4"/>
  <c r="F71" i="4"/>
  <c r="C37" i="4"/>
  <c r="F63" i="4"/>
  <c r="F44" i="4"/>
  <c r="F66" i="4"/>
  <c r="F51" i="4"/>
  <c r="F78" i="4"/>
  <c r="F87" i="4"/>
  <c r="F88" i="4"/>
  <c r="F93" i="4"/>
  <c r="F119" i="4"/>
  <c r="F43" i="4"/>
  <c r="C44" i="4"/>
  <c r="F47" i="4"/>
  <c r="F65" i="4"/>
  <c r="F92" i="4"/>
  <c r="F99" i="4"/>
  <c r="F116" i="4"/>
  <c r="F97" i="4"/>
  <c r="F118" i="4"/>
  <c r="C42" i="4"/>
  <c r="F62" i="4"/>
  <c r="F83" i="4"/>
  <c r="F102" i="4"/>
  <c r="C36" i="4"/>
  <c r="F50" i="4"/>
  <c r="F61" i="4"/>
  <c r="F96" i="4"/>
  <c r="C123" i="4"/>
  <c r="F115" i="4"/>
  <c r="F120" i="4"/>
  <c r="F54" i="4"/>
  <c r="F60" i="4"/>
  <c r="F64" i="4"/>
  <c r="F75" i="4"/>
  <c r="F82" i="4"/>
  <c r="F90" i="4"/>
  <c r="F95" i="4"/>
  <c r="F114" i="4"/>
  <c r="F104" i="4"/>
  <c r="F108" i="4"/>
  <c r="F112" i="4"/>
  <c r="F67" i="4"/>
  <c r="F85" i="4"/>
  <c r="F98" i="4"/>
  <c r="F103" i="4"/>
  <c r="F106" i="4"/>
  <c r="F117" i="4"/>
  <c r="F122" i="4"/>
  <c r="F123" i="4"/>
  <c r="I11" i="4" l="1"/>
  <c r="E125" i="4"/>
  <c r="H34" i="4"/>
  <c r="I34" i="4" s="1"/>
  <c r="H56" i="4"/>
  <c r="H78" i="4" s="1"/>
  <c r="B17" i="6"/>
  <c r="B18" i="6" s="1"/>
  <c r="B19" i="6" s="1"/>
  <c r="F40" i="5"/>
  <c r="I106" i="4"/>
  <c r="B4" i="6"/>
  <c r="E127" i="4" l="1"/>
  <c r="F127" i="4" s="1"/>
  <c r="F125" i="4"/>
  <c r="I56" i="4"/>
  <c r="C48" i="5"/>
  <c r="C50" i="5" s="1"/>
  <c r="B31" i="6"/>
  <c r="I78" i="4"/>
  <c r="E129" i="4" l="1"/>
  <c r="F129" i="4" s="1"/>
  <c r="I46" i="4"/>
  <c r="M46" i="4"/>
  <c r="I45" i="4"/>
  <c r="H52" i="4" l="1"/>
  <c r="D5" i="5"/>
  <c r="I52" i="4" l="1"/>
  <c r="E5" i="5"/>
  <c r="B9" i="6"/>
  <c r="B11" i="6" l="1"/>
  <c r="B12" i="6" s="1"/>
  <c r="B13" i="6" s="1"/>
  <c r="H14" i="4" l="1"/>
  <c r="E15" i="5"/>
  <c r="F15" i="5" l="1"/>
  <c r="E24" i="5"/>
  <c r="H25" i="4" l="1"/>
  <c r="H31" i="4"/>
  <c r="H21" i="4"/>
  <c r="H13" i="4" s="1"/>
  <c r="I25" i="4" l="1"/>
  <c r="H22" i="4"/>
  <c r="I21" i="4"/>
  <c r="I31" i="4"/>
  <c r="H26" i="4"/>
  <c r="I22" i="4" l="1"/>
  <c r="E28" i="5"/>
  <c r="H32" i="4"/>
  <c r="I26" i="4"/>
  <c r="I13" i="4"/>
  <c r="I32" i="4" l="1"/>
  <c r="H54" i="4"/>
  <c r="F28" i="5"/>
  <c r="F48" i="5" s="1"/>
  <c r="B5" i="6"/>
  <c r="B6" i="6" s="1"/>
  <c r="I54" i="4" l="1"/>
  <c r="H108" i="4"/>
  <c r="H110" i="4" l="1"/>
  <c r="I108" i="4"/>
  <c r="H125" i="4" l="1"/>
  <c r="B3" i="6"/>
  <c r="I110" i="4"/>
  <c r="B7" i="6" l="1"/>
  <c r="H127" i="4"/>
  <c r="I125" i="4"/>
  <c r="B24" i="6" l="1"/>
  <c r="B30" i="6" s="1"/>
  <c r="E42" i="5"/>
  <c r="I127" i="4"/>
  <c r="H129" i="4"/>
  <c r="D46" i="5" l="1"/>
  <c r="E45" i="5" s="1"/>
  <c r="B32" i="6" s="1"/>
  <c r="B33" i="6" s="1"/>
  <c r="B34" i="6" s="1"/>
  <c r="I129" i="4"/>
  <c r="H134" i="4"/>
  <c r="B26" i="6"/>
  <c r="B27" i="6" s="1"/>
  <c r="B28" i="6" s="1"/>
  <c r="E48" i="5" l="1"/>
  <c r="E50" i="5" s="1"/>
  <c r="B36" i="6"/>
  <c r="B1" i="7" s="1"/>
  <c r="B2" i="7" s="1"/>
  <c r="H138" i="4" l="1"/>
  <c r="B42" i="7"/>
  <c r="B33" i="7"/>
  <c r="B36" i="7"/>
  <c r="B81" i="7"/>
  <c r="B56" i="7"/>
  <c r="C77" i="7"/>
  <c r="C60" i="7"/>
  <c r="B77" i="7"/>
  <c r="C50" i="7"/>
  <c r="C30" i="7"/>
  <c r="C34" i="7"/>
  <c r="B45" i="7"/>
  <c r="C41" i="7"/>
  <c r="C25" i="7"/>
  <c r="C80" i="7"/>
  <c r="B43" i="7"/>
  <c r="B74" i="7"/>
  <c r="C66" i="7"/>
  <c r="C49" i="7"/>
  <c r="C45" i="7"/>
  <c r="B69" i="7"/>
  <c r="B35" i="7"/>
  <c r="B24" i="7"/>
  <c r="B39" i="7"/>
  <c r="B28" i="7"/>
  <c r="C36" i="7"/>
  <c r="C59" i="7"/>
  <c r="C29" i="7"/>
  <c r="C27" i="7"/>
  <c r="C44" i="7"/>
  <c r="B38" i="7"/>
  <c r="C71" i="7"/>
  <c r="C28" i="7"/>
  <c r="C35" i="7"/>
  <c r="C76" i="7"/>
  <c r="C43" i="7"/>
  <c r="B25" i="7"/>
  <c r="B62" i="7"/>
  <c r="B23" i="7"/>
  <c r="B68" i="7"/>
  <c r="B76" i="7"/>
  <c r="C54" i="7"/>
  <c r="B46" i="7"/>
  <c r="B70" i="7"/>
  <c r="C81" i="7"/>
  <c r="C26" i="7"/>
  <c r="C42" i="7"/>
  <c r="B72" i="7"/>
  <c r="C24" i="7"/>
  <c r="C67" i="7"/>
  <c r="B75" i="7"/>
  <c r="B32" i="7"/>
  <c r="B50" i="7"/>
  <c r="C51" i="7"/>
  <c r="B80" i="7"/>
  <c r="B73" i="7"/>
  <c r="B26" i="7"/>
  <c r="B52" i="7"/>
  <c r="B79" i="7"/>
  <c r="B58" i="7"/>
  <c r="C38" i="7"/>
  <c r="C48" i="7"/>
  <c r="B30" i="7"/>
  <c r="C56" i="7"/>
  <c r="B48" i="7"/>
  <c r="C57" i="7"/>
  <c r="B37" i="7"/>
  <c r="B55" i="7"/>
  <c r="B63" i="7"/>
  <c r="C22" i="7"/>
  <c r="B60" i="7"/>
  <c r="B59" i="7"/>
  <c r="B34" i="7"/>
  <c r="B41" i="7"/>
  <c r="C79" i="7"/>
  <c r="B67" i="7"/>
  <c r="B61" i="7"/>
  <c r="C23" i="7"/>
  <c r="C74" i="7"/>
  <c r="C73" i="7"/>
  <c r="C40" i="7"/>
  <c r="C78" i="7"/>
  <c r="C72" i="7"/>
  <c r="B47" i="7"/>
  <c r="C47" i="7"/>
  <c r="C55" i="7"/>
  <c r="B44" i="7"/>
  <c r="C62" i="7"/>
  <c r="E10" i="7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B22" i="7"/>
  <c r="C10" i="7"/>
  <c r="B54" i="7"/>
  <c r="B53" i="7"/>
  <c r="B78" i="7"/>
  <c r="B57" i="7"/>
  <c r="C64" i="7"/>
  <c r="C70" i="7"/>
  <c r="C58" i="7"/>
  <c r="C69" i="7"/>
  <c r="B65" i="7"/>
  <c r="C46" i="7"/>
  <c r="C33" i="7"/>
  <c r="C39" i="7"/>
  <c r="C61" i="7"/>
  <c r="C37" i="7"/>
  <c r="B31" i="7"/>
  <c r="B29" i="7"/>
  <c r="C65" i="7"/>
  <c r="B64" i="7"/>
  <c r="B51" i="7"/>
  <c r="D51" i="7" s="1"/>
  <c r="B27" i="7"/>
  <c r="B71" i="7"/>
  <c r="D71" i="7" s="1"/>
  <c r="B66" i="7"/>
  <c r="C63" i="7"/>
  <c r="C31" i="7"/>
  <c r="B49" i="7"/>
  <c r="B40" i="7"/>
  <c r="C53" i="7"/>
  <c r="C75" i="7"/>
  <c r="C32" i="7"/>
  <c r="C52" i="7"/>
  <c r="C68" i="7"/>
  <c r="D27" i="7" l="1"/>
  <c r="D80" i="7"/>
  <c r="D29" i="7"/>
  <c r="D60" i="7"/>
  <c r="D41" i="7"/>
  <c r="D43" i="7"/>
  <c r="D39" i="7"/>
  <c r="D68" i="7"/>
  <c r="D77" i="7"/>
  <c r="D57" i="7"/>
  <c r="D30" i="7"/>
  <c r="D34" i="7"/>
  <c r="D78" i="7"/>
  <c r="D54" i="7"/>
  <c r="D67" i="7"/>
  <c r="D66" i="7"/>
  <c r="D72" i="7"/>
  <c r="D35" i="7"/>
  <c r="D59" i="7"/>
  <c r="D40" i="7"/>
  <c r="D50" i="7"/>
  <c r="D49" i="7"/>
  <c r="D47" i="7"/>
  <c r="D44" i="7"/>
  <c r="D23" i="7"/>
  <c r="D38" i="7"/>
  <c r="D24" i="7"/>
  <c r="D64" i="7"/>
  <c r="D53" i="7"/>
  <c r="D61" i="7"/>
  <c r="D63" i="7"/>
  <c r="D25" i="7"/>
  <c r="D69" i="7"/>
  <c r="D56" i="7"/>
  <c r="D65" i="7"/>
  <c r="D55" i="7"/>
  <c r="D58" i="7"/>
  <c r="D32" i="7"/>
  <c r="D70" i="7"/>
  <c r="D45" i="7"/>
  <c r="D81" i="7"/>
  <c r="D73" i="7"/>
  <c r="B10" i="7"/>
  <c r="C11" i="7"/>
  <c r="D37" i="7"/>
  <c r="D79" i="7"/>
  <c r="D75" i="7"/>
  <c r="D46" i="7"/>
  <c r="D36" i="7"/>
  <c r="D62" i="7"/>
  <c r="D31" i="7"/>
  <c r="I33" i="7"/>
  <c r="L33" i="7" s="1"/>
  <c r="D22" i="7"/>
  <c r="E22" i="7" s="1"/>
  <c r="D52" i="7"/>
  <c r="D33" i="7"/>
  <c r="D48" i="7"/>
  <c r="D26" i="7"/>
  <c r="D76" i="7"/>
  <c r="D28" i="7"/>
  <c r="D74" i="7"/>
  <c r="D42" i="7"/>
  <c r="E23" i="7" l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59" i="7" s="1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C12" i="7"/>
  <c r="B11" i="7"/>
  <c r="C13" i="7" l="1"/>
  <c r="B12" i="7"/>
  <c r="B13" i="7" l="1"/>
  <c r="C14" i="7"/>
  <c r="B14" i="7" l="1"/>
  <c r="C15" i="7"/>
  <c r="C16" i="7" l="1"/>
  <c r="B15" i="7"/>
  <c r="C17" i="7" l="1"/>
  <c r="B16" i="7"/>
  <c r="B17" i="7" l="1"/>
  <c r="C18" i="7"/>
  <c r="B18" i="7" l="1"/>
  <c r="C19" i="7"/>
  <c r="C20" i="7" l="1"/>
  <c r="B19" i="7"/>
  <c r="B20" i="7" l="1"/>
  <c r="C21" i="7"/>
  <c r="B21" i="7" s="1"/>
  <c r="I21" i="7" l="1"/>
  <c r="L2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Fogliata</author>
  </authors>
  <commentList>
    <comment ref="H14" authorId="0" shapeId="0" xr:uid="{7B1657F8-12A4-4512-80E2-EC6BD8CC5296}">
      <text>
        <r>
          <rPr>
            <sz val="9"/>
            <color indexed="81"/>
            <rFont val="Tahoma"/>
            <family val="2"/>
          </rPr>
          <t>Se si interviene sul fatturato adeguare l'incidenza rispetto al delta di magazzino</t>
        </r>
      </text>
    </comment>
    <comment ref="H23" authorId="0" shapeId="0" xr:uid="{B2B9D921-BA64-4239-9615-FA5E80645503}">
      <text>
        <r>
          <rPr>
            <sz val="9"/>
            <color indexed="81"/>
            <rFont val="Tahoma"/>
            <family val="2"/>
          </rPr>
          <t xml:space="preserve">Se si interviene sul fatturato adeguare l'incidenza rispetto al delta di magazzino
</t>
        </r>
      </text>
    </comment>
    <comment ref="H27" authorId="0" shapeId="0" xr:uid="{5D5F5F49-B669-446B-B40B-4D328F50A8F8}">
      <text>
        <r>
          <rPr>
            <sz val="9"/>
            <color indexed="81"/>
            <rFont val="Tahoma"/>
            <family val="2"/>
          </rPr>
          <t>Se si interviene sul fatturato adeguare l'incidenza rispetto al delta di magazzino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Fogliata</author>
  </authors>
  <commentList>
    <comment ref="D3" authorId="0" shapeId="0" xr:uid="{1199E471-9E07-43D1-847D-B6653665C4C2}">
      <text>
        <r>
          <rPr>
            <sz val="9"/>
            <color indexed="81"/>
            <rFont val="Tahoma"/>
            <family val="2"/>
          </rPr>
          <t>Acquisto software gestionale</t>
        </r>
      </text>
    </comment>
    <comment ref="D6" authorId="0" shapeId="0" xr:uid="{8598E954-AB0B-4C18-94CB-CF758B33DA83}">
      <text>
        <r>
          <rPr>
            <sz val="9"/>
            <color indexed="81"/>
            <rFont val="Tahoma"/>
            <family val="2"/>
          </rPr>
          <t xml:space="preserve">Conclusione lavori nuova sede
Adeguamenti sicurezza fase 2
Interventi su illuminazione LED
Installazione magazzino verticale
</t>
        </r>
      </text>
    </comment>
    <comment ref="D9" authorId="0" shapeId="0" xr:uid="{6787257F-E675-4E33-8B65-75F3CBD08638}">
      <text>
        <r>
          <rPr>
            <sz val="9"/>
            <color indexed="81"/>
            <rFont val="Tahoma"/>
            <family val="2"/>
          </rPr>
          <t>Contratto di investimento nella Start Up Alfa</t>
        </r>
      </text>
    </comment>
  </commentList>
</comments>
</file>

<file path=xl/sharedStrings.xml><?xml version="1.0" encoding="utf-8"?>
<sst xmlns="http://schemas.openxmlformats.org/spreadsheetml/2006/main" count="342" uniqueCount="231">
  <si>
    <t>% su Fatt Vend</t>
  </si>
  <si>
    <t>Ricavi Di Vendita Italia</t>
  </si>
  <si>
    <t>Ricavi Di Vendita Estero</t>
  </si>
  <si>
    <t>Rivalsa Su Trasporti Vendite</t>
  </si>
  <si>
    <t>SUBTOTALE FATTURATO VENDITE</t>
  </si>
  <si>
    <t>RICAVI NETTI DI VENDITA</t>
  </si>
  <si>
    <t>CONSUMI DI MATERIE</t>
  </si>
  <si>
    <t>Acquisti Materie Prime</t>
  </si>
  <si>
    <t>Acquisto Vernici</t>
  </si>
  <si>
    <t>Acquisto Vetri</t>
  </si>
  <si>
    <t>Acquisto Ferramenta</t>
  </si>
  <si>
    <t>Acquisto Materie Sussidiarie</t>
  </si>
  <si>
    <t>Acquisto Imballaggi</t>
  </si>
  <si>
    <t>- Rimanenze Finali Di Materie Prime</t>
  </si>
  <si>
    <t>CONSUMI DI SEMILAVORATI</t>
  </si>
  <si>
    <t>Acquisto Semilavorati</t>
  </si>
  <si>
    <t>- Rimanenze Finali Di Semilavorati</t>
  </si>
  <si>
    <t>CONSUMI DI PRODOTTI FINITI</t>
  </si>
  <si>
    <t>Acquisti Prodotti Finiti</t>
  </si>
  <si>
    <t>Acquisto Prodotti Commercializzati</t>
  </si>
  <si>
    <t>CONSUMI TOTALI</t>
  </si>
  <si>
    <t>Materiale Di Consumo Per La Produzione</t>
  </si>
  <si>
    <t>Utensileria E Ricambi</t>
  </si>
  <si>
    <t>SERVIZI PER LA PRODUZIONE</t>
  </si>
  <si>
    <t>Consulenze Produzione E Spese R&amp;S</t>
  </si>
  <si>
    <t>Spese Di Riscaldamento E Pulizie Fabbrica</t>
  </si>
  <si>
    <t>Spese Per Forza Motrice</t>
  </si>
  <si>
    <t>Spese Per Trasporti D'Acquisto</t>
  </si>
  <si>
    <t>Costo Operai Produzione</t>
  </si>
  <si>
    <t>COSTO DEL PERSONALE DI PRODUZIONE</t>
  </si>
  <si>
    <t>AMMORTAMENTI INDUSTRIALI</t>
  </si>
  <si>
    <t>Ammortam. Macchinari</t>
  </si>
  <si>
    <t>Ammortam. Immobili Industriali E Commerciali</t>
  </si>
  <si>
    <t>Ammortam. Attrezzature</t>
  </si>
  <si>
    <t>Ammortam. Costo Mutuo Ipotecario</t>
  </si>
  <si>
    <t>Ammortam. Impianti</t>
  </si>
  <si>
    <t>Ammortam. Costruzioni Leggere</t>
  </si>
  <si>
    <t>COSTO DEL VENDUTO</t>
  </si>
  <si>
    <t>Abbonamenti E Pubblicità</t>
  </si>
  <si>
    <t>Cataloghi E Listini</t>
  </si>
  <si>
    <t>Allestimenti Punti Vendita</t>
  </si>
  <si>
    <t>Costi Uso Area Espositiva</t>
  </si>
  <si>
    <t>Informazioni Commerciali</t>
  </si>
  <si>
    <t>Consulenze Marketing</t>
  </si>
  <si>
    <t>Spese Ospitalità Clienti</t>
  </si>
  <si>
    <t>Spese Di Trasporto Vendite</t>
  </si>
  <si>
    <t>Varie Di Vendita</t>
  </si>
  <si>
    <t>SPESE E SERVIZI COMMERCIALI</t>
  </si>
  <si>
    <t>COSTO DEL PERSONALE COMMERCIALE</t>
  </si>
  <si>
    <t>AMMORTAMENTI COMMERCIALI</t>
  </si>
  <si>
    <t>Ammortam. Brevetti E Marchi</t>
  </si>
  <si>
    <t>ACCANTONAMENTI E SVALUTAZIONI</t>
  </si>
  <si>
    <t>Svalutazioni Crediti</t>
  </si>
  <si>
    <t>TOTALE SPESE COMMERCIALI</t>
  </si>
  <si>
    <t>Cancelleria E Stampati</t>
  </si>
  <si>
    <t>Consulenze Amministrative E Notarili</t>
  </si>
  <si>
    <t>Spese Legali</t>
  </si>
  <si>
    <t>Compensi Sindaci</t>
  </si>
  <si>
    <t>Assistenza Informatica E Canoni</t>
  </si>
  <si>
    <t>Spese Telefoniche E Postali</t>
  </si>
  <si>
    <t>Utenze (Acqua, Luce,…), Smaltimento Rifiuti E Pulizia Uffici</t>
  </si>
  <si>
    <t>Spese Autovetture, Viaggi Generici E Rimborso Km Dipendenti</t>
  </si>
  <si>
    <t>Corsi Di Formazione</t>
  </si>
  <si>
    <t>Assicurazioni Varie</t>
  </si>
  <si>
    <t>Varie E Generali E Omaggi</t>
  </si>
  <si>
    <t>COSTO DEL PERSONALE AMMINISTRATIVO E CDA</t>
  </si>
  <si>
    <t>Compensi Amministratori</t>
  </si>
  <si>
    <t>AMMORTAMENTI AMMINISTRATIVI E GENERICI</t>
  </si>
  <si>
    <t>Ammortam. Macchine Ufficio</t>
  </si>
  <si>
    <t>Ammortam. Mobili Ufficio</t>
  </si>
  <si>
    <t>Ammortam. Costi Pluriennali</t>
  </si>
  <si>
    <t>Ammortam. Programmi</t>
  </si>
  <si>
    <t>Ammortam. Autovetture</t>
  </si>
  <si>
    <t>TOTALE SPESE AMMINISTRATIVE</t>
  </si>
  <si>
    <t>RISULTATO OP. CARATTERISTICO</t>
  </si>
  <si>
    <t>PROVENTI E ONERI PATRIMONIALI E STRAORDINARI</t>
  </si>
  <si>
    <t>PROVENTI FINANZIARI</t>
  </si>
  <si>
    <t>Interessi Attivi Bancari</t>
  </si>
  <si>
    <t>RISULTATO GESTIONE PATRIM. + PROVENTI FINANZIARI</t>
  </si>
  <si>
    <t>ONERI FINANZIARI</t>
  </si>
  <si>
    <t>Spese E Oneri Bancari</t>
  </si>
  <si>
    <t>Interessi Passivi Bancari</t>
  </si>
  <si>
    <t>Spese Finanziarie Varie</t>
  </si>
  <si>
    <t>RISULTATO PRIMA DELLE IMPOSTE</t>
  </si>
  <si>
    <t>IMPOSTE SUL REDDITO</t>
  </si>
  <si>
    <t>RISULTATO NETTO</t>
  </si>
  <si>
    <t>Costo Impiegati Produzione</t>
  </si>
  <si>
    <t>Costo Impiegati Commerciali</t>
  </si>
  <si>
    <t>Costo Impiegati Amministrativi</t>
  </si>
  <si>
    <t>Ammortam. Automezzi</t>
  </si>
  <si>
    <t>Provvigioni Agenti, Enasarco, Quota Firr, Royalties</t>
  </si>
  <si>
    <t>Spese Pr E Ufficio Stampa</t>
  </si>
  <si>
    <t>Fiere Ed Eventi</t>
  </si>
  <si>
    <t>Beni Vari Inferiori 516€</t>
  </si>
  <si>
    <t>Quota Associativa</t>
  </si>
  <si>
    <t>Sopravvenienze E Plusvalenze</t>
  </si>
  <si>
    <t>Imposta Sugli Immobili E Sostitutiva</t>
  </si>
  <si>
    <t>Imposte E Tasse Deducibili E Non</t>
  </si>
  <si>
    <t>Proventi Vari E Contributi</t>
  </si>
  <si>
    <t>TOTALE COSTI CARATTERISTICI</t>
  </si>
  <si>
    <t>Manutezione Macchinari, Automezzi e Generiche</t>
  </si>
  <si>
    <t>SERVIZI TOTALI</t>
  </si>
  <si>
    <t>Lavorazioni Presso Terzi</t>
  </si>
  <si>
    <t>Spese Trasferta Dipendenti</t>
  </si>
  <si>
    <t>Spese Rappresentanza</t>
  </si>
  <si>
    <t>Dipendenti - Elaborazione Dati Paghe E Visite Mediche</t>
  </si>
  <si>
    <t>SPESE E SERVIZI AMMINISTRATIVI E GENERICI</t>
  </si>
  <si>
    <t>- Rimanenze Finali Di Prodotti Finiti</t>
  </si>
  <si>
    <t>CONSUNT.  2018</t>
  </si>
  <si>
    <t>CONSUNT.  2019</t>
  </si>
  <si>
    <t>BUDGET 2020</t>
  </si>
  <si>
    <t>CV</t>
  </si>
  <si>
    <t>CF</t>
  </si>
  <si>
    <t>Costi Variabili</t>
  </si>
  <si>
    <t>Costi Fissi</t>
  </si>
  <si>
    <t>Totale Costi</t>
  </si>
  <si>
    <t>MdC %</t>
  </si>
  <si>
    <t>MdC</t>
  </si>
  <si>
    <t>Uscite per variazioni patrimoniali</t>
  </si>
  <si>
    <t/>
  </si>
  <si>
    <t>HP 1</t>
  </si>
  <si>
    <t>Acquisto accessori</t>
  </si>
  <si>
    <t>Acquisto Prodotti Finiti</t>
  </si>
  <si>
    <t>Valore della Produzione Atteso</t>
  </si>
  <si>
    <t>Surplus/Deficit di liquidità</t>
  </si>
  <si>
    <t>Fixed Cost Category</t>
  </si>
  <si>
    <t>VITAL</t>
  </si>
  <si>
    <t>IMPORTANT</t>
  </si>
  <si>
    <t>EMPOWERING</t>
  </si>
  <si>
    <t>NOT FINANCIAL</t>
  </si>
  <si>
    <t>ASSETS</t>
  </si>
  <si>
    <t>DELTA 2020</t>
  </si>
  <si>
    <t>Immobilizzazioni Immateriali</t>
  </si>
  <si>
    <t>Investimenti/Disinvestimenti stimati</t>
  </si>
  <si>
    <t>Immobilizzazioni Materiali</t>
  </si>
  <si>
    <t>Immobilizzazioni Finanziarie</t>
  </si>
  <si>
    <t>Crediti verso clienti</t>
  </si>
  <si>
    <t>DSO Medi</t>
  </si>
  <si>
    <t xml:space="preserve">Rimanenze </t>
  </si>
  <si>
    <t>DSI</t>
  </si>
  <si>
    <t>Crediti Diversi a Breve</t>
  </si>
  <si>
    <t>Attività fin. non immobilizzate</t>
  </si>
  <si>
    <t>Totale Ratei e Risconti di Natura Operativa</t>
  </si>
  <si>
    <t>LIABILITIES</t>
  </si>
  <si>
    <t>Debiti verso fornitori</t>
  </si>
  <si>
    <t>DPO</t>
  </si>
  <si>
    <t>Acconti</t>
  </si>
  <si>
    <t>Debiti verso istituti di previdenza e di sicurezza sociale</t>
  </si>
  <si>
    <t>Debiti Diversi</t>
  </si>
  <si>
    <t>Fondo Trattamento fine rapporto lavoro subordinato</t>
  </si>
  <si>
    <t>Fondi per rischi ed oneri</t>
  </si>
  <si>
    <t>Debiti finanziari v. banche</t>
  </si>
  <si>
    <t>Posizione tributaria netta</t>
  </si>
  <si>
    <t>Distribuzioni 2020</t>
  </si>
  <si>
    <t>TOTALE PASSIVO</t>
  </si>
  <si>
    <t>Check</t>
  </si>
  <si>
    <t>Svalutazione Crediti</t>
  </si>
  <si>
    <t>Risultato di esercizio 2020</t>
  </si>
  <si>
    <t>Circolante Iniziale</t>
  </si>
  <si>
    <t>Circolante Finale</t>
  </si>
  <si>
    <t>Delta Circolante</t>
  </si>
  <si>
    <t>Cash Flow Operativo</t>
  </si>
  <si>
    <t>Ammortamenti</t>
  </si>
  <si>
    <t>Inv. Iniziali</t>
  </si>
  <si>
    <t>Inv. Finali</t>
  </si>
  <si>
    <t>Delta Investimenti</t>
  </si>
  <si>
    <t>Cap.EX.</t>
  </si>
  <si>
    <t>Interessi passivi</t>
  </si>
  <si>
    <t>PFN iniziale</t>
  </si>
  <si>
    <t>PFN Finale</t>
  </si>
  <si>
    <t>Delta PFN</t>
  </si>
  <si>
    <t>Cash Flow to Debt</t>
  </si>
  <si>
    <t>Gestione Straordinaria</t>
  </si>
  <si>
    <t>Taxes</t>
  </si>
  <si>
    <t>PTN Iniziale</t>
  </si>
  <si>
    <t>PTN Finale</t>
  </si>
  <si>
    <t>Delta PTN</t>
  </si>
  <si>
    <t>Cash Flow to Taxes</t>
  </si>
  <si>
    <t>Utile Netto</t>
  </si>
  <si>
    <t>Equity Iniziale</t>
  </si>
  <si>
    <t>Equity Finale</t>
  </si>
  <si>
    <t>Delta Equity</t>
  </si>
  <si>
    <t>Cash Flow to Equity</t>
  </si>
  <si>
    <t>EBITDA (netto da Sval. Crediti)</t>
  </si>
  <si>
    <t>CASH FLOW STATEMENT</t>
  </si>
  <si>
    <t>Accantonamenti</t>
  </si>
  <si>
    <t>In crescita causa direttive fase 2 (acquisto DPI)</t>
  </si>
  <si>
    <t xml:space="preserve">In crescita causa direttive fase 2 (pulizie 2 volte al giorno) </t>
  </si>
  <si>
    <t>Calcolo di 10/12esimi</t>
  </si>
  <si>
    <t>Preavviso disdetta 6 mesi (non conveniente)</t>
  </si>
  <si>
    <t>Previsione sulla base delle prime avvisaglie</t>
  </si>
  <si>
    <t>Nuovo costo compresso</t>
  </si>
  <si>
    <t>Austerity Proprietà</t>
  </si>
  <si>
    <t>Non si procede a comprimerlo</t>
  </si>
  <si>
    <t>Non compresso, investimento per la futura ripartenza</t>
  </si>
  <si>
    <t>Già compresso</t>
  </si>
  <si>
    <t>Nuovo importo investimenti</t>
  </si>
  <si>
    <t>Valori originari</t>
  </si>
  <si>
    <t>Sì</t>
  </si>
  <si>
    <t>No</t>
  </si>
  <si>
    <t>Deficit Liquidità Stimato</t>
  </si>
  <si>
    <t>Deficit arrotondato</t>
  </si>
  <si>
    <t xml:space="preserve">Hp </t>
  </si>
  <si>
    <t>Tasso</t>
  </si>
  <si>
    <t>mesi preammortamento</t>
  </si>
  <si>
    <t>mesi ammortamento</t>
  </si>
  <si>
    <t xml:space="preserve">Sviluppo piano </t>
  </si>
  <si>
    <t>Rata</t>
  </si>
  <si>
    <t>Debito Residuo</t>
  </si>
  <si>
    <t>Quota Interessi</t>
  </si>
  <si>
    <t>Quota Capitale</t>
  </si>
  <si>
    <t>Delta Fatturato per beak even</t>
  </si>
  <si>
    <t>Quote capitale e minor autoliquidante</t>
  </si>
  <si>
    <t>Manutenzioni strutture</t>
  </si>
  <si>
    <t>BEP Economico</t>
  </si>
  <si>
    <t>BEP Finanziario</t>
  </si>
  <si>
    <t>Extra Financial Cash Flow 2021</t>
  </si>
  <si>
    <t>Extra Financial Cash Flow 2022</t>
  </si>
  <si>
    <t>Notes to managed fixed costs</t>
  </si>
  <si>
    <t>Attivazione Piano più aggressivo ma limitante</t>
  </si>
  <si>
    <t>DELTA PATRIMONIALI</t>
  </si>
  <si>
    <t>TOTALE DELTA PATRIMONIALI</t>
  </si>
  <si>
    <t>Delta Val. Prod. rispetto a BEPFin</t>
  </si>
  <si>
    <t>Uscite Finanziarie Fisse in Conto Economico</t>
  </si>
  <si>
    <t>Totale Uscite finanziarie fisse</t>
  </si>
  <si>
    <t>Attività Finanziarie</t>
  </si>
  <si>
    <t>TOTALE ATTIVO</t>
  </si>
  <si>
    <t>Mezzi Propri</t>
  </si>
  <si>
    <t>31/12/19</t>
  </si>
  <si>
    <t>31/12/20</t>
  </si>
  <si>
    <t>15 mio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</si>
</sst>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&quot;€&quot;\ * #,##0_-;\-&quot;€&quot;\ * #,##0_-;_-&quot;€&quot;\ 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0"/>
      <color rgb="FFFF000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u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" fillId="28" borderId="1" applyNumberFormat="0" applyAlignment="0" applyProtection="0"/>
    <xf numFmtId="43" fontId="1" fillId="0" borderId="0" applyFont="0" applyFill="0" applyBorder="0" applyAlignment="0" applyProtection="0"/>
    <xf numFmtId="0" fontId="7" fillId="29" borderId="0" applyNumberFormat="0" applyBorder="0" applyAlignment="0" applyProtection="0"/>
    <xf numFmtId="0" fontId="1" fillId="30" borderId="4" applyNumberFormat="0" applyFont="0" applyAlignment="0" applyProtection="0"/>
    <xf numFmtId="0" fontId="8" fillId="20" borderId="5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3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1" fillId="0" borderId="10" xfId="0" applyFont="1" applyBorder="1" applyAlignment="1">
      <alignment horizontal="left" vertical="center"/>
    </xf>
    <xf numFmtId="10" fontId="21" fillId="0" borderId="10" xfId="0" applyNumberFormat="1" applyFont="1" applyBorder="1" applyAlignment="1">
      <alignment horizontal="center" vertical="center" wrapText="1"/>
    </xf>
    <xf numFmtId="10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 vertical="center" wrapText="1"/>
    </xf>
    <xf numFmtId="6" fontId="0" fillId="0" borderId="0" xfId="0" applyNumberFormat="1" applyAlignment="1">
      <alignment vertical="center"/>
    </xf>
    <xf numFmtId="10" fontId="21" fillId="0" borderId="10" xfId="0" applyNumberFormat="1" applyFont="1" applyFill="1" applyBorder="1" applyAlignment="1">
      <alignment horizontal="center" vertical="center" wrapText="1"/>
    </xf>
    <xf numFmtId="5" fontId="21" fillId="0" borderId="10" xfId="0" applyNumberFormat="1" applyFont="1" applyBorder="1" applyAlignment="1">
      <alignment horizontal="right" vertical="center" wrapText="1"/>
    </xf>
    <xf numFmtId="5" fontId="24" fillId="0" borderId="0" xfId="0" applyNumberFormat="1" applyFont="1" applyFill="1" applyBorder="1" applyAlignment="1">
      <alignment horizontal="center" vertical="center" wrapText="1"/>
    </xf>
    <xf numFmtId="0" fontId="21" fillId="0" borderId="10" xfId="0" quotePrefix="1" applyFont="1" applyBorder="1" applyAlignment="1">
      <alignment horizontal="left" vertical="center"/>
    </xf>
    <xf numFmtId="6" fontId="27" fillId="35" borderId="10" xfId="0" applyNumberFormat="1" applyFont="1" applyFill="1" applyBorder="1" applyAlignment="1">
      <alignment horizontal="center" vertical="center" wrapText="1"/>
    </xf>
    <xf numFmtId="6" fontId="21" fillId="35" borderId="10" xfId="0" applyNumberFormat="1" applyFont="1" applyFill="1" applyBorder="1" applyAlignment="1">
      <alignment horizontal="right" vertical="center" wrapText="1"/>
    </xf>
    <xf numFmtId="6" fontId="23" fillId="35" borderId="10" xfId="0" applyNumberFormat="1" applyFont="1" applyFill="1" applyBorder="1" applyAlignment="1">
      <alignment horizontal="right" vertical="center" wrapText="1"/>
    </xf>
    <xf numFmtId="5" fontId="21" fillId="35" borderId="10" xfId="0" applyNumberFormat="1" applyFont="1" applyFill="1" applyBorder="1" applyAlignment="1">
      <alignment horizontal="right" vertical="center" wrapText="1"/>
    </xf>
    <xf numFmtId="5" fontId="24" fillId="35" borderId="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/>
    </xf>
    <xf numFmtId="44" fontId="21" fillId="35" borderId="10" xfId="0" applyNumberFormat="1" applyFont="1" applyFill="1" applyBorder="1" applyAlignment="1">
      <alignment horizontal="right" vertical="center" wrapText="1"/>
    </xf>
    <xf numFmtId="165" fontId="21" fillId="35" borderId="10" xfId="0" applyNumberFormat="1" applyFont="1" applyFill="1" applyBorder="1" applyAlignment="1">
      <alignment horizontal="right" vertical="center" wrapText="1"/>
    </xf>
    <xf numFmtId="0" fontId="34" fillId="37" borderId="11" xfId="0" applyFont="1" applyFill="1" applyBorder="1" applyAlignment="1">
      <alignment horizontal="center" vertical="center"/>
    </xf>
    <xf numFmtId="0" fontId="35" fillId="37" borderId="12" xfId="0" applyFont="1" applyFill="1" applyBorder="1" applyAlignment="1">
      <alignment horizontal="center" vertical="center"/>
    </xf>
    <xf numFmtId="0" fontId="29" fillId="38" borderId="0" xfId="0" applyFont="1" applyFill="1" applyAlignment="1">
      <alignment horizontal="left" vertical="center"/>
    </xf>
    <xf numFmtId="6" fontId="0" fillId="38" borderId="0" xfId="0" applyNumberFormat="1" applyFill="1" applyAlignment="1">
      <alignment vertical="center"/>
    </xf>
    <xf numFmtId="0" fontId="0" fillId="38" borderId="0" xfId="0" applyFill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44" fontId="0" fillId="38" borderId="0" xfId="44" applyFont="1" applyFill="1" applyAlignment="1">
      <alignment vertical="center"/>
    </xf>
    <xf numFmtId="6" fontId="15" fillId="38" borderId="0" xfId="0" applyNumberFormat="1" applyFont="1" applyFill="1" applyAlignment="1">
      <alignment vertical="center"/>
    </xf>
    <xf numFmtId="13" fontId="0" fillId="38" borderId="0" xfId="0" applyNumberFormat="1" applyFill="1" applyAlignment="1">
      <alignment vertical="center"/>
    </xf>
    <xf numFmtId="0" fontId="24" fillId="38" borderId="0" xfId="0" applyFont="1" applyFill="1" applyBorder="1" applyAlignment="1">
      <alignment vertical="center"/>
    </xf>
    <xf numFmtId="0" fontId="26" fillId="38" borderId="0" xfId="0" applyFont="1" applyFill="1" applyBorder="1" applyAlignment="1">
      <alignment horizontal="center" vertical="center" wrapText="1"/>
    </xf>
    <xf numFmtId="6" fontId="24" fillId="38" borderId="0" xfId="0" applyNumberFormat="1" applyFont="1" applyFill="1" applyBorder="1" applyAlignment="1">
      <alignment horizontal="center" vertical="center" wrapText="1"/>
    </xf>
    <xf numFmtId="10" fontId="24" fillId="38" borderId="0" xfId="0" applyNumberFormat="1" applyFont="1" applyFill="1" applyBorder="1" applyAlignment="1">
      <alignment horizontal="center" vertical="center" wrapText="1"/>
    </xf>
    <xf numFmtId="10" fontId="22" fillId="38" borderId="0" xfId="0" applyNumberFormat="1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horizontal="left" vertical="center"/>
    </xf>
    <xf numFmtId="6" fontId="21" fillId="38" borderId="10" xfId="0" applyNumberFormat="1" applyFont="1" applyFill="1" applyBorder="1" applyAlignment="1">
      <alignment horizontal="right" vertical="center" wrapText="1"/>
    </xf>
    <xf numFmtId="10" fontId="21" fillId="38" borderId="10" xfId="0" applyNumberFormat="1" applyFont="1" applyFill="1" applyBorder="1" applyAlignment="1">
      <alignment horizontal="center" vertical="center" wrapText="1"/>
    </xf>
    <xf numFmtId="10" fontId="21" fillId="38" borderId="0" xfId="0" applyNumberFormat="1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left" vertical="center"/>
    </xf>
    <xf numFmtId="6" fontId="23" fillId="38" borderId="10" xfId="0" applyNumberFormat="1" applyFont="1" applyFill="1" applyBorder="1" applyAlignment="1">
      <alignment horizontal="right" vertical="center" wrapText="1"/>
    </xf>
    <xf numFmtId="10" fontId="23" fillId="38" borderId="10" xfId="0" applyNumberFormat="1" applyFont="1" applyFill="1" applyBorder="1" applyAlignment="1">
      <alignment horizontal="center" vertical="center" wrapText="1"/>
    </xf>
    <xf numFmtId="10" fontId="23" fillId="38" borderId="0" xfId="0" applyNumberFormat="1" applyFont="1" applyFill="1" applyBorder="1" applyAlignment="1">
      <alignment horizontal="center" vertical="center" wrapText="1"/>
    </xf>
    <xf numFmtId="6" fontId="28" fillId="38" borderId="0" xfId="0" applyNumberFormat="1" applyFont="1" applyFill="1" applyAlignment="1">
      <alignment vertical="center"/>
    </xf>
    <xf numFmtId="44" fontId="18" fillId="38" borderId="0" xfId="44" applyFont="1" applyFill="1" applyAlignment="1">
      <alignment horizontal="center" vertical="center" wrapText="1"/>
    </xf>
    <xf numFmtId="0" fontId="18" fillId="38" borderId="0" xfId="0" applyFont="1" applyFill="1" applyAlignment="1">
      <alignment horizontal="center" vertical="center" wrapText="1"/>
    </xf>
    <xf numFmtId="0" fontId="19" fillId="38" borderId="0" xfId="0" applyFont="1" applyFill="1" applyBorder="1" applyAlignment="1">
      <alignment vertical="center"/>
    </xf>
    <xf numFmtId="44" fontId="19" fillId="38" borderId="0" xfId="44" applyFont="1" applyFill="1" applyBorder="1" applyAlignment="1">
      <alignment vertical="center"/>
    </xf>
    <xf numFmtId="44" fontId="20" fillId="38" borderId="0" xfId="44" applyFont="1" applyFill="1" applyAlignment="1">
      <alignment vertical="center"/>
    </xf>
    <xf numFmtId="0" fontId="20" fillId="38" borderId="0" xfId="0" applyFont="1" applyFill="1" applyAlignment="1">
      <alignment vertical="center"/>
    </xf>
    <xf numFmtId="0" fontId="19" fillId="38" borderId="0" xfId="0" applyFont="1" applyFill="1" applyAlignment="1">
      <alignment vertical="center"/>
    </xf>
    <xf numFmtId="10" fontId="32" fillId="38" borderId="0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vertical="center"/>
    </xf>
    <xf numFmtId="10" fontId="33" fillId="38" borderId="0" xfId="0" applyNumberFormat="1" applyFont="1" applyFill="1" applyBorder="1" applyAlignment="1">
      <alignment horizontal="center" vertical="center" wrapText="1"/>
    </xf>
    <xf numFmtId="10" fontId="5" fillId="38" borderId="0" xfId="0" applyNumberFormat="1" applyFont="1" applyFill="1" applyBorder="1" applyAlignment="1">
      <alignment horizontal="center" vertical="center" wrapText="1"/>
    </xf>
    <xf numFmtId="5" fontId="24" fillId="38" borderId="0" xfId="0" applyNumberFormat="1" applyFont="1" applyFill="1" applyBorder="1" applyAlignment="1">
      <alignment horizontal="center" vertical="center" wrapText="1"/>
    </xf>
    <xf numFmtId="10" fontId="21" fillId="38" borderId="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vertical="center"/>
    </xf>
    <xf numFmtId="0" fontId="15" fillId="38" borderId="0" xfId="0" applyFont="1" applyFill="1" applyBorder="1" applyAlignment="1">
      <alignment horizontal="center" vertical="center"/>
    </xf>
    <xf numFmtId="0" fontId="15" fillId="38" borderId="0" xfId="0" applyFont="1" applyFill="1" applyAlignment="1">
      <alignment horizontal="right" vertical="center"/>
    </xf>
    <xf numFmtId="10" fontId="0" fillId="38" borderId="0" xfId="43" applyNumberFormat="1" applyFont="1" applyFill="1" applyAlignment="1">
      <alignment vertical="center"/>
    </xf>
    <xf numFmtId="0" fontId="0" fillId="38" borderId="0" xfId="0" applyFill="1" applyAlignment="1">
      <alignment horizontal="right" vertical="center"/>
    </xf>
    <xf numFmtId="0" fontId="0" fillId="36" borderId="0" xfId="0" applyFill="1" applyAlignment="1">
      <alignment vertical="center"/>
    </xf>
    <xf numFmtId="0" fontId="36" fillId="34" borderId="0" xfId="0" applyFont="1" applyFill="1"/>
    <xf numFmtId="0" fontId="37" fillId="34" borderId="0" xfId="0" applyFont="1" applyFill="1"/>
    <xf numFmtId="14" fontId="36" fillId="34" borderId="0" xfId="0" applyNumberFormat="1" applyFont="1" applyFill="1" applyAlignment="1">
      <alignment horizontal="center"/>
    </xf>
    <xf numFmtId="0" fontId="37" fillId="38" borderId="0" xfId="0" applyFont="1" applyFill="1" applyAlignment="1">
      <alignment horizontal="center"/>
    </xf>
    <xf numFmtId="0" fontId="37" fillId="38" borderId="0" xfId="0" applyFont="1" applyFill="1"/>
    <xf numFmtId="0" fontId="38" fillId="38" borderId="0" xfId="0" applyFont="1" applyFill="1"/>
    <xf numFmtId="0" fontId="0" fillId="38" borderId="0" xfId="0" applyFill="1"/>
    <xf numFmtId="165" fontId="37" fillId="38" borderId="0" xfId="44" applyNumberFormat="1" applyFont="1" applyFill="1"/>
    <xf numFmtId="165" fontId="0" fillId="38" borderId="0" xfId="44" applyNumberFormat="1" applyFont="1" applyFill="1"/>
    <xf numFmtId="165" fontId="0" fillId="36" borderId="0" xfId="44" applyNumberFormat="1" applyFont="1" applyFill="1"/>
    <xf numFmtId="165" fontId="37" fillId="36" borderId="0" xfId="44" applyNumberFormat="1" applyFont="1" applyFill="1"/>
    <xf numFmtId="165" fontId="38" fillId="38" borderId="0" xfId="44" applyNumberFormat="1" applyFont="1" applyFill="1"/>
    <xf numFmtId="164" fontId="0" fillId="36" borderId="0" xfId="29" applyNumberFormat="1" applyFont="1" applyFill="1"/>
    <xf numFmtId="44" fontId="37" fillId="38" borderId="0" xfId="44" applyFont="1" applyFill="1"/>
    <xf numFmtId="0" fontId="0" fillId="34" borderId="0" xfId="0" applyFill="1"/>
    <xf numFmtId="0" fontId="0" fillId="36" borderId="0" xfId="0" applyFill="1"/>
    <xf numFmtId="9" fontId="0" fillId="36" borderId="0" xfId="0" applyNumberFormat="1" applyFill="1"/>
    <xf numFmtId="9" fontId="0" fillId="36" borderId="0" xfId="43" applyFont="1" applyFill="1"/>
    <xf numFmtId="9" fontId="0" fillId="38" borderId="0" xfId="43" applyFont="1" applyFill="1"/>
    <xf numFmtId="165" fontId="37" fillId="38" borderId="0" xfId="0" applyNumberFormat="1" applyFont="1" applyFill="1"/>
    <xf numFmtId="165" fontId="0" fillId="38" borderId="0" xfId="0" applyNumberFormat="1" applyFill="1"/>
    <xf numFmtId="165" fontId="15" fillId="38" borderId="0" xfId="44" applyNumberFormat="1" applyFont="1" applyFill="1"/>
    <xf numFmtId="0" fontId="15" fillId="38" borderId="0" xfId="0" applyFont="1" applyFill="1"/>
    <xf numFmtId="165" fontId="38" fillId="36" borderId="0" xfId="44" applyNumberFormat="1" applyFont="1" applyFill="1"/>
    <xf numFmtId="0" fontId="15" fillId="41" borderId="0" xfId="0" applyFont="1" applyFill="1"/>
    <xf numFmtId="8" fontId="0" fillId="38" borderId="0" xfId="0" applyNumberFormat="1" applyFill="1" applyAlignment="1">
      <alignment vertical="center"/>
    </xf>
    <xf numFmtId="44" fontId="0" fillId="38" borderId="0" xfId="0" applyNumberFormat="1" applyFill="1"/>
    <xf numFmtId="165" fontId="15" fillId="38" borderId="0" xfId="0" applyNumberFormat="1" applyFont="1" applyFill="1"/>
    <xf numFmtId="0" fontId="0" fillId="38" borderId="0" xfId="0" applyFill="1" applyAlignment="1">
      <alignment horizontal="center"/>
    </xf>
    <xf numFmtId="165" fontId="0" fillId="38" borderId="0" xfId="0" applyNumberFormat="1" applyFill="1" applyAlignment="1">
      <alignment horizontal="center"/>
    </xf>
    <xf numFmtId="165" fontId="15" fillId="38" borderId="0" xfId="0" applyNumberFormat="1" applyFont="1" applyFill="1" applyAlignment="1">
      <alignment horizontal="center"/>
    </xf>
    <xf numFmtId="8" fontId="19" fillId="38" borderId="0" xfId="0" applyNumberFormat="1" applyFont="1" applyFill="1" applyAlignment="1">
      <alignment vertical="center"/>
    </xf>
    <xf numFmtId="6" fontId="0" fillId="38" borderId="0" xfId="0" applyNumberFormat="1" applyFill="1" applyBorder="1" applyAlignment="1">
      <alignment horizontal="center" vertical="center"/>
    </xf>
    <xf numFmtId="5" fontId="0" fillId="38" borderId="0" xfId="0" applyNumberFormat="1" applyFill="1" applyAlignment="1">
      <alignment vertical="center"/>
    </xf>
    <xf numFmtId="0" fontId="15" fillId="38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0" fillId="38" borderId="13" xfId="0" applyFont="1" applyFill="1" applyBorder="1"/>
    <xf numFmtId="165" fontId="0" fillId="38" borderId="13" xfId="0" applyNumberFormat="1" applyFont="1" applyFill="1" applyBorder="1" applyAlignment="1">
      <alignment horizontal="center"/>
    </xf>
    <xf numFmtId="0" fontId="0" fillId="38" borderId="13" xfId="0" applyFill="1" applyBorder="1"/>
    <xf numFmtId="0" fontId="15" fillId="38" borderId="13" xfId="0" applyFont="1" applyFill="1" applyBorder="1"/>
    <xf numFmtId="165" fontId="15" fillId="38" borderId="13" xfId="0" applyNumberFormat="1" applyFont="1" applyFill="1" applyBorder="1" applyAlignment="1">
      <alignment horizontal="center"/>
    </xf>
    <xf numFmtId="165" fontId="0" fillId="38" borderId="13" xfId="0" applyNumberFormat="1" applyFill="1" applyBorder="1" applyAlignment="1">
      <alignment horizontal="center"/>
    </xf>
    <xf numFmtId="0" fontId="15" fillId="36" borderId="0" xfId="0" applyFont="1" applyFill="1" applyAlignment="1">
      <alignment horizontal="center" vertical="center"/>
    </xf>
    <xf numFmtId="16" fontId="0" fillId="38" borderId="0" xfId="0" applyNumberFormat="1" applyFill="1" applyAlignment="1">
      <alignment vertical="center"/>
    </xf>
    <xf numFmtId="44" fontId="0" fillId="36" borderId="0" xfId="44" applyFont="1" applyFill="1" applyAlignment="1">
      <alignment vertical="center"/>
    </xf>
    <xf numFmtId="165" fontId="15" fillId="42" borderId="0" xfId="0" applyNumberFormat="1" applyFont="1" applyFill="1"/>
    <xf numFmtId="44" fontId="19" fillId="38" borderId="0" xfId="44" applyFont="1" applyFill="1" applyAlignment="1">
      <alignment vertical="center"/>
    </xf>
    <xf numFmtId="44" fontId="2" fillId="38" borderId="0" xfId="44" applyFont="1" applyFill="1" applyAlignment="1">
      <alignment vertical="center"/>
    </xf>
    <xf numFmtId="0" fontId="5" fillId="40" borderId="0" xfId="0" applyFont="1" applyFill="1" applyAlignment="1">
      <alignment horizontal="center" vertical="center"/>
    </xf>
    <xf numFmtId="44" fontId="0" fillId="38" borderId="0" xfId="44" applyFont="1" applyFill="1"/>
    <xf numFmtId="9" fontId="0" fillId="38" borderId="0" xfId="0" applyNumberFormat="1" applyFill="1"/>
    <xf numFmtId="165" fontId="0" fillId="38" borderId="0" xfId="44" applyNumberFormat="1" applyFont="1" applyFill="1" applyAlignment="1">
      <alignment horizontal="center"/>
    </xf>
    <xf numFmtId="0" fontId="5" fillId="39" borderId="0" xfId="0" applyFont="1" applyFill="1"/>
    <xf numFmtId="165" fontId="5" fillId="39" borderId="0" xfId="44" applyNumberFormat="1" applyFont="1" applyFill="1"/>
    <xf numFmtId="165" fontId="37" fillId="38" borderId="0" xfId="44" applyNumberFormat="1" applyFont="1" applyFill="1" applyAlignment="1">
      <alignment horizontal="center"/>
    </xf>
    <xf numFmtId="0" fontId="15" fillId="43" borderId="0" xfId="0" applyFont="1" applyFill="1"/>
    <xf numFmtId="165" fontId="15" fillId="43" borderId="0" xfId="0" applyNumberFormat="1" applyFont="1" applyFill="1"/>
    <xf numFmtId="10" fontId="24" fillId="39" borderId="0" xfId="0" applyNumberFormat="1" applyFont="1" applyFill="1" applyBorder="1" applyAlignment="1">
      <alignment horizontal="center" vertical="center" wrapText="1"/>
    </xf>
    <xf numFmtId="0" fontId="22" fillId="44" borderId="10" xfId="0" applyFont="1" applyFill="1" applyBorder="1" applyAlignment="1">
      <alignment vertical="center"/>
    </xf>
    <xf numFmtId="5" fontId="22" fillId="44" borderId="10" xfId="0" applyNumberFormat="1" applyFont="1" applyFill="1" applyBorder="1" applyAlignment="1">
      <alignment horizontal="right" vertical="center" wrapText="1"/>
    </xf>
    <xf numFmtId="10" fontId="22" fillId="44" borderId="10" xfId="0" applyNumberFormat="1" applyFont="1" applyFill="1" applyBorder="1" applyAlignment="1">
      <alignment horizontal="center" vertical="center" wrapText="1"/>
    </xf>
    <xf numFmtId="10" fontId="21" fillId="44" borderId="0" xfId="0" applyNumberFormat="1" applyFont="1" applyFill="1" applyBorder="1" applyAlignment="1">
      <alignment horizontal="center" vertical="center" wrapText="1"/>
    </xf>
    <xf numFmtId="44" fontId="22" fillId="44" borderId="10" xfId="0" applyNumberFormat="1" applyFont="1" applyFill="1" applyBorder="1" applyAlignment="1">
      <alignment horizontal="right" vertical="center" wrapText="1"/>
    </xf>
    <xf numFmtId="0" fontId="5" fillId="39" borderId="10" xfId="0" applyFont="1" applyFill="1" applyBorder="1" applyAlignment="1">
      <alignment vertical="center"/>
    </xf>
    <xf numFmtId="5" fontId="5" fillId="39" borderId="10" xfId="0" applyNumberFormat="1" applyFont="1" applyFill="1" applyBorder="1" applyAlignment="1">
      <alignment horizontal="right" vertical="center" wrapText="1"/>
    </xf>
    <xf numFmtId="10" fontId="5" fillId="39" borderId="10" xfId="0" applyNumberFormat="1" applyFont="1" applyFill="1" applyBorder="1" applyAlignment="1">
      <alignment horizontal="center" vertical="center" wrapText="1"/>
    </xf>
    <xf numFmtId="10" fontId="21" fillId="39" borderId="0" xfId="0" applyNumberFormat="1" applyFont="1" applyFill="1" applyBorder="1" applyAlignment="1">
      <alignment horizontal="center" vertical="center" wrapText="1"/>
    </xf>
    <xf numFmtId="0" fontId="24" fillId="45" borderId="10" xfId="0" applyFont="1" applyFill="1" applyBorder="1" applyAlignment="1">
      <alignment vertical="center"/>
    </xf>
    <xf numFmtId="6" fontId="24" fillId="45" borderId="10" xfId="0" applyNumberFormat="1" applyFont="1" applyFill="1" applyBorder="1" applyAlignment="1">
      <alignment horizontal="right" vertical="center" wrapText="1"/>
    </xf>
    <xf numFmtId="10" fontId="24" fillId="45" borderId="10" xfId="0" applyNumberFormat="1" applyFont="1" applyFill="1" applyBorder="1" applyAlignment="1">
      <alignment horizontal="center" vertical="center" wrapText="1"/>
    </xf>
    <xf numFmtId="10" fontId="24" fillId="45" borderId="0" xfId="0" applyNumberFormat="1" applyFont="1" applyFill="1" applyBorder="1" applyAlignment="1">
      <alignment horizontal="center" vertical="center" wrapText="1"/>
    </xf>
    <xf numFmtId="49" fontId="34" fillId="45" borderId="10" xfId="0" applyNumberFormat="1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 wrapText="1"/>
    </xf>
    <xf numFmtId="165" fontId="22" fillId="44" borderId="10" xfId="0" applyNumberFormat="1" applyFont="1" applyFill="1" applyBorder="1" applyAlignment="1">
      <alignment horizontal="right" vertical="center" wrapText="1"/>
    </xf>
    <xf numFmtId="0" fontId="5" fillId="46" borderId="10" xfId="0" applyFont="1" applyFill="1" applyBorder="1" applyAlignment="1">
      <alignment vertical="center"/>
    </xf>
    <xf numFmtId="5" fontId="5" fillId="46" borderId="10" xfId="0" applyNumberFormat="1" applyFont="1" applyFill="1" applyBorder="1" applyAlignment="1">
      <alignment horizontal="right" vertical="center" wrapText="1"/>
    </xf>
    <xf numFmtId="10" fontId="5" fillId="46" borderId="10" xfId="0" applyNumberFormat="1" applyFont="1" applyFill="1" applyBorder="1" applyAlignment="1">
      <alignment horizontal="center" vertical="center" wrapText="1"/>
    </xf>
    <xf numFmtId="10" fontId="21" fillId="46" borderId="0" xfId="0" applyNumberFormat="1" applyFont="1" applyFill="1" applyBorder="1" applyAlignment="1">
      <alignment horizontal="center" vertical="center" wrapText="1"/>
    </xf>
    <xf numFmtId="10" fontId="24" fillId="44" borderId="0" xfId="0" applyNumberFormat="1" applyFont="1" applyFill="1" applyBorder="1" applyAlignment="1">
      <alignment horizontal="center" vertical="center" wrapText="1"/>
    </xf>
    <xf numFmtId="10" fontId="22" fillId="44" borderId="0" xfId="0" applyNumberFormat="1" applyFont="1" applyFill="1" applyBorder="1" applyAlignment="1">
      <alignment horizontal="center" vertical="center" wrapText="1"/>
    </xf>
    <xf numFmtId="0" fontId="25" fillId="45" borderId="10" xfId="0" applyFont="1" applyFill="1" applyBorder="1" applyAlignment="1">
      <alignment vertical="center"/>
    </xf>
    <xf numFmtId="5" fontId="25" fillId="45" borderId="10" xfId="0" applyNumberFormat="1" applyFont="1" applyFill="1" applyBorder="1" applyAlignment="1">
      <alignment horizontal="right" vertical="center" wrapText="1"/>
    </xf>
    <xf numFmtId="10" fontId="25" fillId="45" borderId="10" xfId="0" applyNumberFormat="1" applyFont="1" applyFill="1" applyBorder="1" applyAlignment="1">
      <alignment horizontal="center" vertical="center" wrapText="1"/>
    </xf>
    <xf numFmtId="10" fontId="21" fillId="45" borderId="0" xfId="0" applyNumberFormat="1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vertical="center"/>
    </xf>
    <xf numFmtId="5" fontId="25" fillId="39" borderId="10" xfId="0" applyNumberFormat="1" applyFont="1" applyFill="1" applyBorder="1" applyAlignment="1">
      <alignment horizontal="right" vertical="center" wrapText="1"/>
    </xf>
    <xf numFmtId="10" fontId="25" fillId="39" borderId="10" xfId="0" applyNumberFormat="1" applyFont="1" applyFill="1" applyBorder="1" applyAlignment="1">
      <alignment horizontal="center" vertical="center" wrapText="1"/>
    </xf>
    <xf numFmtId="0" fontId="40" fillId="39" borderId="10" xfId="0" applyFont="1" applyFill="1" applyBorder="1" applyAlignment="1">
      <alignment horizontal="left" vertical="center"/>
    </xf>
    <xf numFmtId="5" fontId="40" fillId="39" borderId="10" xfId="0" applyNumberFormat="1" applyFont="1" applyFill="1" applyBorder="1" applyAlignment="1">
      <alignment horizontal="right" vertical="center" wrapText="1"/>
    </xf>
    <xf numFmtId="10" fontId="40" fillId="39" borderId="10" xfId="0" applyNumberFormat="1" applyFont="1" applyFill="1" applyBorder="1" applyAlignment="1">
      <alignment horizontal="center" vertical="center" wrapText="1"/>
    </xf>
    <xf numFmtId="10" fontId="2" fillId="39" borderId="0" xfId="0" applyNumberFormat="1" applyFont="1" applyFill="1" applyBorder="1" applyAlignment="1">
      <alignment horizontal="center" vertical="center" wrapText="1"/>
    </xf>
    <xf numFmtId="0" fontId="0" fillId="44" borderId="0" xfId="0" applyFill="1" applyBorder="1" applyAlignment="1">
      <alignment horizontal="center" vertical="center"/>
    </xf>
    <xf numFmtId="0" fontId="0" fillId="45" borderId="0" xfId="0" applyFill="1" applyBorder="1" applyAlignment="1">
      <alignment horizontal="center" vertical="center"/>
    </xf>
    <xf numFmtId="0" fontId="5" fillId="39" borderId="12" xfId="0" applyFont="1" applyFill="1" applyBorder="1" applyAlignment="1">
      <alignment horizontal="center" vertical="center"/>
    </xf>
    <xf numFmtId="0" fontId="41" fillId="38" borderId="0" xfId="0" applyFont="1" applyFill="1" applyBorder="1" applyAlignment="1">
      <alignment vertical="center"/>
    </xf>
    <xf numFmtId="0" fontId="39" fillId="38" borderId="0" xfId="0" applyFont="1" applyFill="1" applyAlignment="1">
      <alignment vertical="center"/>
    </xf>
    <xf numFmtId="0" fontId="41" fillId="38" borderId="0" xfId="0" applyFont="1" applyFill="1" applyAlignment="1">
      <alignment vertical="center"/>
    </xf>
    <xf numFmtId="165" fontId="2" fillId="38" borderId="0" xfId="44" applyNumberFormat="1" applyFont="1" applyFill="1" applyAlignment="1">
      <alignment vertical="center"/>
    </xf>
    <xf numFmtId="165" fontId="2" fillId="38" borderId="0" xfId="0" applyNumberFormat="1" applyFont="1" applyFill="1" applyAlignment="1">
      <alignment vertical="center"/>
    </xf>
    <xf numFmtId="165" fontId="15" fillId="36" borderId="0" xfId="0" applyNumberFormat="1" applyFont="1" applyFill="1"/>
    <xf numFmtId="0" fontId="15" fillId="38" borderId="0" xfId="0" applyFont="1" applyFill="1" applyAlignment="1">
      <alignment horizontal="right"/>
    </xf>
    <xf numFmtId="0" fontId="0" fillId="38" borderId="0" xfId="0" applyFill="1" applyAlignment="1">
      <alignment horizontal="right"/>
    </xf>
    <xf numFmtId="7" fontId="42" fillId="38" borderId="0" xfId="0" applyNumberFormat="1" applyFont="1" applyFill="1"/>
    <xf numFmtId="7" fontId="0" fillId="38" borderId="0" xfId="0" applyNumberFormat="1" applyFont="1" applyFill="1"/>
    <xf numFmtId="7" fontId="37" fillId="38" borderId="0" xfId="0" applyNumberFormat="1" applyFont="1" applyFill="1"/>
    <xf numFmtId="7" fontId="43" fillId="38" borderId="0" xfId="0" applyNumberFormat="1" applyFont="1" applyFill="1"/>
    <xf numFmtId="7" fontId="15" fillId="38" borderId="0" xfId="0" applyNumberFormat="1" applyFont="1" applyFill="1"/>
    <xf numFmtId="7" fontId="0" fillId="38" borderId="0" xfId="0" applyNumberFormat="1" applyFill="1"/>
    <xf numFmtId="0" fontId="36" fillId="47" borderId="0" xfId="0" applyFont="1" applyFill="1" applyAlignment="1">
      <alignment horizontal="center"/>
    </xf>
    <xf numFmtId="7" fontId="5" fillId="47" borderId="0" xfId="0" applyNumberFormat="1" applyFont="1" applyFill="1"/>
    <xf numFmtId="9" fontId="0" fillId="38" borderId="0" xfId="43" applyFont="1" applyFill="1" applyAlignment="1">
      <alignment vertical="center"/>
    </xf>
    <xf numFmtId="165" fontId="0" fillId="38" borderId="0" xfId="44" applyNumberFormat="1" applyFont="1" applyFill="1" applyAlignment="1">
      <alignment vertical="center"/>
    </xf>
    <xf numFmtId="165" fontId="18" fillId="38" borderId="0" xfId="44" applyNumberFormat="1" applyFont="1" applyFill="1" applyAlignment="1">
      <alignment horizontal="center" vertical="center" wrapText="1"/>
    </xf>
    <xf numFmtId="165" fontId="20" fillId="38" borderId="0" xfId="44" applyNumberFormat="1" applyFont="1" applyFill="1" applyAlignment="1">
      <alignment vertical="center"/>
    </xf>
    <xf numFmtId="165" fontId="0" fillId="38" borderId="0" xfId="0" applyNumberFormat="1" applyFill="1" applyBorder="1" applyAlignment="1">
      <alignment horizontal="center" vertical="center"/>
    </xf>
    <xf numFmtId="44" fontId="42" fillId="38" borderId="0" xfId="0" applyNumberFormat="1" applyFont="1" applyFill="1"/>
    <xf numFmtId="0" fontId="15" fillId="38" borderId="14" xfId="0" applyFont="1" applyFill="1" applyBorder="1" applyAlignment="1">
      <alignment horizontal="center" vertical="center" wrapText="1"/>
    </xf>
    <xf numFmtId="0" fontId="15" fillId="38" borderId="15" xfId="0" applyFont="1" applyFill="1" applyBorder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6" fontId="0" fillId="48" borderId="0" xfId="0" applyNumberFormat="1" applyFill="1" applyAlignment="1">
      <alignment vertical="center"/>
    </xf>
    <xf numFmtId="10" fontId="0" fillId="48" borderId="0" xfId="43" applyNumberFormat="1" applyFont="1" applyFill="1" applyAlignment="1">
      <alignment vertic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ta" xfId="31" builtinId="10" customBuiltin="1"/>
    <cellStyle name="Output" xfId="32" builtinId="21" customBuiltin="1"/>
    <cellStyle name="Percentuale" xfId="43" builtinId="5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  <cellStyle name="Valuta" xfId="4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1A474-EFCD-4CE4-9FE5-694463DC3529}">
  <dimension ref="A1:AI196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24" sqref="A24"/>
      <selection pane="bottomRight" activeCell="I2" sqref="I2"/>
    </sheetView>
  </sheetViews>
  <sheetFormatPr defaultColWidth="9.1015625" defaultRowHeight="14.4" x14ac:dyDescent="0.55000000000000004"/>
  <cols>
    <col min="1" max="1" width="46" style="2" bestFit="1" customWidth="1"/>
    <col min="2" max="2" width="13.20703125" style="15" bestFit="1" customWidth="1"/>
    <col min="3" max="3" width="8.734375" style="4" bestFit="1" customWidth="1"/>
    <col min="4" max="4" width="0.734375" style="33" customWidth="1"/>
    <col min="5" max="5" width="12.26171875" style="15" customWidth="1"/>
    <col min="6" max="6" width="10" style="4" customWidth="1"/>
    <col min="7" max="7" width="0.734375" style="33" customWidth="1"/>
    <col min="8" max="8" width="14.3125" style="15" customWidth="1"/>
    <col min="9" max="9" width="9.3671875" style="4" bestFit="1" customWidth="1"/>
    <col min="10" max="10" width="3.7890625" style="33" customWidth="1"/>
    <col min="11" max="11" width="15.62890625" style="183" hidden="1" customWidth="1"/>
    <col min="12" max="12" width="16.9453125" style="34" customWidth="1"/>
    <col min="13" max="13" width="46.15625" style="34" bestFit="1" customWidth="1"/>
    <col min="14" max="14" width="11.9453125" style="34" customWidth="1"/>
    <col min="15" max="15" width="10.734375" style="34" customWidth="1"/>
    <col min="16" max="16" width="12.20703125" style="35" hidden="1" customWidth="1"/>
    <col min="17" max="35" width="9.1015625" style="34"/>
    <col min="36" max="16384" width="9.1015625" style="2"/>
  </cols>
  <sheetData>
    <row r="1" spans="1:35" s="34" customFormat="1" ht="17.25" customHeight="1" x14ac:dyDescent="0.55000000000000004">
      <c r="A1" s="30"/>
      <c r="B1" s="31"/>
      <c r="C1" s="32"/>
      <c r="D1" s="33"/>
      <c r="E1" s="31"/>
      <c r="F1" s="32"/>
      <c r="G1" s="33"/>
      <c r="H1" s="28" t="s">
        <v>120</v>
      </c>
      <c r="I1" s="29" t="s">
        <v>230</v>
      </c>
      <c r="J1" s="33"/>
      <c r="K1" s="183"/>
      <c r="L1" s="165" t="s">
        <v>125</v>
      </c>
      <c r="N1" s="188" t="s">
        <v>219</v>
      </c>
      <c r="P1" s="35"/>
      <c r="Q1" s="60" t="s">
        <v>198</v>
      </c>
      <c r="R1" s="60" t="s">
        <v>198</v>
      </c>
      <c r="S1" s="60" t="s">
        <v>198</v>
      </c>
      <c r="T1" s="60" t="s">
        <v>198</v>
      </c>
    </row>
    <row r="2" spans="1:35" s="34" customFormat="1" ht="17.25" customHeight="1" x14ac:dyDescent="0.55000000000000004">
      <c r="B2" s="31"/>
      <c r="C2" s="32"/>
      <c r="D2" s="33"/>
      <c r="E2" s="96"/>
      <c r="F2" s="32"/>
      <c r="G2" s="33"/>
      <c r="H2" s="51"/>
      <c r="I2" s="32"/>
      <c r="J2" s="33"/>
      <c r="K2" s="183"/>
      <c r="L2" s="34" t="s">
        <v>126</v>
      </c>
      <c r="N2" s="189"/>
      <c r="P2" s="35"/>
      <c r="Q2" s="60" t="s">
        <v>199</v>
      </c>
      <c r="R2" s="60" t="s">
        <v>199</v>
      </c>
      <c r="S2" s="60" t="s">
        <v>199</v>
      </c>
      <c r="T2" s="60" t="s">
        <v>199</v>
      </c>
    </row>
    <row r="3" spans="1:35" ht="17.25" customHeight="1" x14ac:dyDescent="0.55000000000000004">
      <c r="A3" s="36"/>
      <c r="B3" s="31"/>
      <c r="C3" s="32"/>
      <c r="E3" s="37"/>
      <c r="F3" s="32"/>
      <c r="H3" s="31"/>
      <c r="I3" s="32"/>
      <c r="L3" s="34" t="s">
        <v>127</v>
      </c>
      <c r="N3" s="189"/>
    </row>
    <row r="4" spans="1:35" ht="17.25" customHeight="1" x14ac:dyDescent="0.55000000000000004">
      <c r="A4" s="36"/>
      <c r="B4" s="31"/>
      <c r="C4" s="32"/>
      <c r="E4" s="31"/>
      <c r="F4" s="32"/>
      <c r="H4" s="31"/>
      <c r="I4" s="32"/>
      <c r="L4" s="34" t="s">
        <v>128</v>
      </c>
      <c r="N4" s="190"/>
    </row>
    <row r="5" spans="1:35" x14ac:dyDescent="0.55000000000000004">
      <c r="A5" s="36"/>
      <c r="B5" s="31"/>
      <c r="C5" s="32"/>
      <c r="E5" s="31"/>
      <c r="F5" s="32"/>
      <c r="H5" s="31"/>
      <c r="I5" s="32"/>
      <c r="L5" s="34" t="s">
        <v>129</v>
      </c>
      <c r="N5" s="120" t="s">
        <v>199</v>
      </c>
    </row>
    <row r="6" spans="1:35" s="1" customFormat="1" ht="36.6" x14ac:dyDescent="0.55000000000000004">
      <c r="A6" s="38"/>
      <c r="B6" s="143" t="s">
        <v>108</v>
      </c>
      <c r="C6" s="144" t="s">
        <v>0</v>
      </c>
      <c r="D6" s="39"/>
      <c r="E6" s="143" t="s">
        <v>109</v>
      </c>
      <c r="F6" s="144" t="s">
        <v>0</v>
      </c>
      <c r="G6" s="39"/>
      <c r="H6" s="20" t="s">
        <v>110</v>
      </c>
      <c r="I6" s="14" t="s">
        <v>0</v>
      </c>
      <c r="J6" s="39"/>
      <c r="K6" s="184" t="s">
        <v>110</v>
      </c>
      <c r="M6" s="114" t="s">
        <v>218</v>
      </c>
      <c r="N6" s="53"/>
      <c r="O6" s="53"/>
      <c r="P6" s="52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5" ht="16.5" customHeight="1" x14ac:dyDescent="0.55000000000000004">
      <c r="A7" s="43" t="s">
        <v>1</v>
      </c>
      <c r="B7" s="44">
        <v>12416445.078787901</v>
      </c>
      <c r="C7" s="45">
        <f>+B7/$B$10</f>
        <v>0.68608843325253543</v>
      </c>
      <c r="D7" s="46"/>
      <c r="E7" s="44">
        <v>13574584.5636364</v>
      </c>
      <c r="F7" s="45">
        <f t="shared" ref="F7:F11" si="0">+E7/$E$10</f>
        <v>0.70412131704858438</v>
      </c>
      <c r="G7" s="46"/>
      <c r="H7" s="21">
        <v>11338441.653958946</v>
      </c>
      <c r="I7" s="9">
        <f t="shared" ref="I7:I11" si="1">+H7/$H$10</f>
        <v>0.72689603256048096</v>
      </c>
      <c r="J7" s="46"/>
      <c r="K7" s="185"/>
      <c r="N7" s="60"/>
    </row>
    <row r="8" spans="1:35" ht="16.5" customHeight="1" x14ac:dyDescent="0.55000000000000004">
      <c r="A8" s="43" t="s">
        <v>2</v>
      </c>
      <c r="B8" s="44">
        <f>5661600.78181818</f>
        <v>5661600.7818181803</v>
      </c>
      <c r="C8" s="45">
        <f t="shared" ref="C8:C67" si="2">+B8/$B$10</f>
        <v>0.31283984952625088</v>
      </c>
      <c r="D8" s="46"/>
      <c r="E8" s="44">
        <f>5679680.83636364</f>
        <v>5679680.8363636397</v>
      </c>
      <c r="F8" s="45">
        <f t="shared" si="0"/>
        <v>0.29460823144665416</v>
      </c>
      <c r="G8" s="46"/>
      <c r="H8" s="21">
        <v>4240389.1847507358</v>
      </c>
      <c r="I8" s="9">
        <f t="shared" si="1"/>
        <v>0.27184706408322473</v>
      </c>
      <c r="J8" s="46"/>
      <c r="K8" s="185"/>
      <c r="N8" s="60"/>
    </row>
    <row r="9" spans="1:35" ht="16.5" customHeight="1" x14ac:dyDescent="0.55000000000000004">
      <c r="A9" s="43" t="s">
        <v>3</v>
      </c>
      <c r="B9" s="44">
        <v>19395.339393939397</v>
      </c>
      <c r="C9" s="45">
        <f t="shared" si="2"/>
        <v>1.0717172212135367E-3</v>
      </c>
      <c r="D9" s="46"/>
      <c r="E9" s="44">
        <v>24492.727272727276</v>
      </c>
      <c r="F9" s="45">
        <f t="shared" si="0"/>
        <v>1.2704515047615307E-3</v>
      </c>
      <c r="G9" s="46"/>
      <c r="H9" s="21">
        <v>19605.727272727276</v>
      </c>
      <c r="I9" s="9">
        <f t="shared" si="1"/>
        <v>1.2569033562943161E-3</v>
      </c>
      <c r="J9" s="46"/>
      <c r="K9" s="185"/>
      <c r="N9" s="60"/>
    </row>
    <row r="10" spans="1:35" s="5" customFormat="1" ht="16.5" customHeight="1" x14ac:dyDescent="0.55000000000000004">
      <c r="A10" s="47" t="s">
        <v>4</v>
      </c>
      <c r="B10" s="48">
        <f>SUM(B7:B9)</f>
        <v>18097441.200000022</v>
      </c>
      <c r="C10" s="49">
        <f t="shared" si="2"/>
        <v>1</v>
      </c>
      <c r="D10" s="50"/>
      <c r="E10" s="48">
        <f>SUM(E7:E9)</f>
        <v>19278758.127272766</v>
      </c>
      <c r="F10" s="49">
        <f t="shared" si="0"/>
        <v>1</v>
      </c>
      <c r="G10" s="50"/>
      <c r="H10" s="22">
        <f>SUM(H7:H9)</f>
        <v>15598436.565982409</v>
      </c>
      <c r="I10" s="10">
        <f t="shared" si="1"/>
        <v>1</v>
      </c>
      <c r="J10" s="50"/>
      <c r="K10" s="185"/>
      <c r="L10" s="57"/>
      <c r="M10" s="57"/>
      <c r="N10" s="167"/>
      <c r="O10" s="57"/>
      <c r="P10" s="5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</row>
    <row r="11" spans="1:35" s="3" customFormat="1" ht="16.5" customHeight="1" x14ac:dyDescent="0.55000000000000004">
      <c r="A11" s="139" t="s">
        <v>5</v>
      </c>
      <c r="B11" s="140">
        <f>+B10</f>
        <v>18097441.200000022</v>
      </c>
      <c r="C11" s="141">
        <f t="shared" si="2"/>
        <v>1</v>
      </c>
      <c r="D11" s="142"/>
      <c r="E11" s="140">
        <f>+E10</f>
        <v>19278758.127272766</v>
      </c>
      <c r="F11" s="141">
        <f t="shared" si="0"/>
        <v>1</v>
      </c>
      <c r="G11" s="142"/>
      <c r="H11" s="140">
        <f>SUM(H10:H10)</f>
        <v>15598436.565982409</v>
      </c>
      <c r="I11" s="141">
        <f t="shared" si="1"/>
        <v>1</v>
      </c>
      <c r="J11" s="41"/>
      <c r="K11" s="185"/>
      <c r="L11" s="102"/>
      <c r="M11" s="58"/>
      <c r="N11" s="168"/>
      <c r="O11" s="58"/>
      <c r="P11" s="11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</row>
    <row r="12" spans="1:35" s="54" customFormat="1" ht="10.5" customHeight="1" x14ac:dyDescent="0.55000000000000004">
      <c r="A12" s="38"/>
      <c r="B12" s="40" t="s">
        <v>119</v>
      </c>
      <c r="C12" s="41"/>
      <c r="D12" s="42"/>
      <c r="E12" s="40" t="s">
        <v>119</v>
      </c>
      <c r="F12" s="41"/>
      <c r="G12" s="42"/>
      <c r="H12" s="40"/>
      <c r="I12" s="41"/>
      <c r="J12" s="42"/>
      <c r="K12" s="185"/>
      <c r="N12" s="166"/>
      <c r="P12" s="55"/>
    </row>
    <row r="13" spans="1:35" ht="16.5" customHeight="1" x14ac:dyDescent="0.55000000000000004">
      <c r="A13" s="130" t="s">
        <v>6</v>
      </c>
      <c r="B13" s="131">
        <f>SUM(B14:B21)</f>
        <v>-3666322.3036532253</v>
      </c>
      <c r="C13" s="132">
        <f t="shared" si="2"/>
        <v>-0.20258788317838108</v>
      </c>
      <c r="D13" s="133"/>
      <c r="E13" s="131">
        <f>SUM(E14:E21)</f>
        <v>-3748921.5830770815</v>
      </c>
      <c r="F13" s="132">
        <f t="shared" ref="F13:F32" si="3">+E13/$E$10</f>
        <v>-0.19445866576715104</v>
      </c>
      <c r="G13" s="133"/>
      <c r="H13" s="131">
        <f>SUM(H14:H21)</f>
        <v>-3194738.0414470262</v>
      </c>
      <c r="I13" s="132">
        <f t="shared" ref="I13:I32" si="4">+H13/$H$10</f>
        <v>-0.20481142632039276</v>
      </c>
      <c r="J13" s="46"/>
      <c r="K13" s="185"/>
      <c r="N13" s="60"/>
    </row>
    <row r="14" spans="1:35" ht="16.5" customHeight="1" x14ac:dyDescent="0.55000000000000004">
      <c r="A14" s="8" t="s">
        <v>7</v>
      </c>
      <c r="B14" s="17">
        <f>+C14*$B$10</f>
        <v>-1285377.8809786432</v>
      </c>
      <c r="C14" s="9">
        <v>-7.1025393411895246E-2</v>
      </c>
      <c r="D14" s="46"/>
      <c r="E14" s="17">
        <f>+F14*$E$10</f>
        <v>-1403590.4436861703</v>
      </c>
      <c r="F14" s="9">
        <v>-7.2805023768651153E-2</v>
      </c>
      <c r="G14" s="46"/>
      <c r="H14" s="23">
        <f>+I14*$H$10</f>
        <v>-871952.60403841664</v>
      </c>
      <c r="I14" s="9">
        <f>-5.59%</f>
        <v>-5.5899999999999998E-2</v>
      </c>
      <c r="J14" s="59" t="s">
        <v>111</v>
      </c>
      <c r="K14" s="185"/>
      <c r="N14" s="60"/>
    </row>
    <row r="15" spans="1:35" ht="16.5" customHeight="1" x14ac:dyDescent="0.55000000000000004">
      <c r="A15" s="8" t="s">
        <v>8</v>
      </c>
      <c r="B15" s="17">
        <f t="shared" ref="B15:B21" si="5">+C15*$B$10</f>
        <v>-256117.08345980867</v>
      </c>
      <c r="C15" s="9">
        <v>-1.4152115795232331E-2</v>
      </c>
      <c r="D15" s="46"/>
      <c r="E15" s="17">
        <f t="shared" ref="E15:E21" si="6">+F15*$E$10</f>
        <v>-233562.43945088176</v>
      </c>
      <c r="F15" s="9">
        <v>-1.2115014769570234E-2</v>
      </c>
      <c r="G15" s="46"/>
      <c r="H15" s="23">
        <f t="shared" ref="H15:H20" si="7">+I15*$H$10</f>
        <v>-172439.68480420229</v>
      </c>
      <c r="I15" s="9">
        <v>-1.1054933875890132E-2</v>
      </c>
      <c r="J15" s="59" t="s">
        <v>111</v>
      </c>
      <c r="K15" s="185"/>
      <c r="N15" s="60"/>
    </row>
    <row r="16" spans="1:35" ht="16.5" customHeight="1" x14ac:dyDescent="0.55000000000000004">
      <c r="A16" s="8" t="s">
        <v>9</v>
      </c>
      <c r="B16" s="17">
        <f t="shared" si="5"/>
        <v>-784162.85454651248</v>
      </c>
      <c r="C16" s="9">
        <v>-4.3330040190792916E-2</v>
      </c>
      <c r="D16" s="46"/>
      <c r="E16" s="17">
        <f t="shared" si="6"/>
        <v>-824208.65188145463</v>
      </c>
      <c r="F16" s="9">
        <v>-4.2752165177874439E-2</v>
      </c>
      <c r="G16" s="46"/>
      <c r="H16" s="23">
        <f t="shared" si="7"/>
        <v>-665954.90974062099</v>
      </c>
      <c r="I16" s="9">
        <v>-4.2693696058806158E-2</v>
      </c>
      <c r="J16" s="59" t="s">
        <v>111</v>
      </c>
      <c r="K16" s="185"/>
      <c r="N16" s="60"/>
    </row>
    <row r="17" spans="1:35" ht="16.5" customHeight="1" x14ac:dyDescent="0.55000000000000004">
      <c r="A17" s="8" t="s">
        <v>10</v>
      </c>
      <c r="B17" s="17">
        <f t="shared" si="5"/>
        <v>-881736.75836911984</v>
      </c>
      <c r="C17" s="9">
        <v>-4.8721625815760006E-2</v>
      </c>
      <c r="D17" s="46"/>
      <c r="E17" s="17">
        <f t="shared" si="6"/>
        <v>-862736.10397809651</v>
      </c>
      <c r="F17" s="9">
        <v>-4.4750605733137119E-2</v>
      </c>
      <c r="G17" s="46"/>
      <c r="H17" s="23">
        <f t="shared" si="7"/>
        <v>-726712.1843180923</v>
      </c>
      <c r="I17" s="9">
        <v>-4.658878351327405E-2</v>
      </c>
      <c r="J17" s="59" t="s">
        <v>111</v>
      </c>
      <c r="K17" s="185"/>
      <c r="N17" s="60"/>
    </row>
    <row r="18" spans="1:35" ht="16.5" customHeight="1" x14ac:dyDescent="0.55000000000000004">
      <c r="A18" s="8" t="s">
        <v>11</v>
      </c>
      <c r="B18" s="17">
        <f t="shared" si="5"/>
        <v>-75654.507834516262</v>
      </c>
      <c r="C18" s="9">
        <v>-4.1803980462451328E-3</v>
      </c>
      <c r="D18" s="46"/>
      <c r="E18" s="17">
        <f t="shared" si="6"/>
        <v>-84826.535760000173</v>
      </c>
      <c r="F18" s="9">
        <v>-4.4000000000000003E-3</v>
      </c>
      <c r="G18" s="46"/>
      <c r="H18" s="23">
        <f t="shared" si="7"/>
        <v>-57007.261573094052</v>
      </c>
      <c r="I18" s="9">
        <v>-3.6546779115938705E-3</v>
      </c>
      <c r="J18" s="59" t="s">
        <v>111</v>
      </c>
      <c r="K18" s="185"/>
      <c r="N18" s="60"/>
    </row>
    <row r="19" spans="1:35" ht="16.5" customHeight="1" x14ac:dyDescent="0.55000000000000004">
      <c r="A19" s="8" t="s">
        <v>12</v>
      </c>
      <c r="B19" s="17">
        <f t="shared" si="5"/>
        <v>-273510.27099378972</v>
      </c>
      <c r="C19" s="9">
        <v>-1.5113201251555351E-2</v>
      </c>
      <c r="D19" s="46"/>
      <c r="E19" s="17">
        <f t="shared" si="6"/>
        <v>-284968.91101669049</v>
      </c>
      <c r="F19" s="9">
        <v>-1.4781497290199319E-2</v>
      </c>
      <c r="G19" s="46"/>
      <c r="H19" s="23">
        <f t="shared" si="7"/>
        <v>-230874.06025338202</v>
      </c>
      <c r="I19" s="9">
        <v>-1.4801102615430054E-2</v>
      </c>
      <c r="J19" s="59" t="s">
        <v>111</v>
      </c>
      <c r="K19" s="185"/>
      <c r="N19" s="60"/>
    </row>
    <row r="20" spans="1:35" ht="16.5" customHeight="1" x14ac:dyDescent="0.55000000000000004">
      <c r="A20" s="8" t="s">
        <v>21</v>
      </c>
      <c r="B20" s="17">
        <f t="shared" si="5"/>
        <v>-81924.392315517194</v>
      </c>
      <c r="C20" s="9">
        <v>-4.5268494816558431E-3</v>
      </c>
      <c r="D20" s="46"/>
      <c r="E20" s="17">
        <f t="shared" si="6"/>
        <v>-78620.667201594202</v>
      </c>
      <c r="F20" s="9">
        <v>-4.0780981162045491E-3</v>
      </c>
      <c r="G20" s="46"/>
      <c r="H20" s="23">
        <f t="shared" si="7"/>
        <v>-120562.77476508747</v>
      </c>
      <c r="I20" s="9">
        <v>-7.7291576149378198E-3</v>
      </c>
      <c r="J20" s="59" t="s">
        <v>111</v>
      </c>
      <c r="K20" s="185"/>
      <c r="M20" s="70" t="s">
        <v>186</v>
      </c>
      <c r="N20" s="60"/>
    </row>
    <row r="21" spans="1:35" ht="16.5" customHeight="1" x14ac:dyDescent="0.55000000000000004">
      <c r="A21" s="8" t="s">
        <v>13</v>
      </c>
      <c r="B21" s="17">
        <f t="shared" si="5"/>
        <v>-27838.555155317936</v>
      </c>
      <c r="C21" s="9">
        <v>-1.53825918524426E-3</v>
      </c>
      <c r="D21" s="42"/>
      <c r="E21" s="17">
        <f t="shared" si="6"/>
        <v>23592.169897806198</v>
      </c>
      <c r="F21" s="9">
        <v>1.2237390884857592E-3</v>
      </c>
      <c r="G21" s="42"/>
      <c r="H21" s="23">
        <f>-'S.P. Contingency'!F15*0.6</f>
        <v>-349234.56195413024</v>
      </c>
      <c r="I21" s="9">
        <f>+H21/H11</f>
        <v>-2.2389074730460656E-2</v>
      </c>
      <c r="J21" s="59" t="s">
        <v>111</v>
      </c>
      <c r="K21" s="185"/>
      <c r="N21" s="60"/>
    </row>
    <row r="22" spans="1:35" ht="16.5" customHeight="1" x14ac:dyDescent="0.55000000000000004">
      <c r="A22" s="130" t="s">
        <v>14</v>
      </c>
      <c r="B22" s="131">
        <f>SUM(B23:B25)</f>
        <v>-1920760.0440976708</v>
      </c>
      <c r="C22" s="132">
        <f t="shared" si="2"/>
        <v>-0.10613434368266761</v>
      </c>
      <c r="D22" s="133"/>
      <c r="E22" s="131">
        <f>SUM(E23:E25)</f>
        <v>-2410813.5932749207</v>
      </c>
      <c r="F22" s="132">
        <f t="shared" si="3"/>
        <v>-0.12505025361900537</v>
      </c>
      <c r="G22" s="133"/>
      <c r="H22" s="131">
        <f>SUM(H23:H25)</f>
        <v>-1923702.7454052195</v>
      </c>
      <c r="I22" s="132">
        <f t="shared" si="4"/>
        <v>-0.12332663836326357</v>
      </c>
      <c r="J22" s="59"/>
      <c r="K22" s="185"/>
      <c r="L22" s="182"/>
      <c r="N22" s="60"/>
    </row>
    <row r="23" spans="1:35" ht="16.5" customHeight="1" x14ac:dyDescent="0.55000000000000004">
      <c r="A23" s="8" t="s">
        <v>15</v>
      </c>
      <c r="B23" s="17">
        <f t="shared" ref="B23:B25" si="8">+C23*$B$10</f>
        <v>-522899.51557410316</v>
      </c>
      <c r="C23" s="9">
        <v>-2.8893560686032372E-2</v>
      </c>
      <c r="D23" s="46"/>
      <c r="E23" s="17">
        <f t="shared" ref="E23:E25" si="9">+F23*$E$10</f>
        <v>-556692.81174495537</v>
      </c>
      <c r="F23" s="9">
        <v>-2.8875968465905896E-2</v>
      </c>
      <c r="G23" s="46"/>
      <c r="H23" s="23">
        <f>+I23*$H$10</f>
        <v>-262053.73430850444</v>
      </c>
      <c r="I23" s="9">
        <v>-1.6799999999999999E-2</v>
      </c>
      <c r="J23" s="59" t="s">
        <v>111</v>
      </c>
      <c r="K23" s="185"/>
      <c r="N23" s="60"/>
    </row>
    <row r="24" spans="1:35" ht="16.5" customHeight="1" x14ac:dyDescent="0.55000000000000004">
      <c r="A24" s="8" t="s">
        <v>102</v>
      </c>
      <c r="B24" s="17">
        <f t="shared" si="8"/>
        <v>-1422958.3977657363</v>
      </c>
      <c r="C24" s="9">
        <v>-7.8627601661484317E-2</v>
      </c>
      <c r="D24" s="46"/>
      <c r="E24" s="17">
        <f t="shared" si="9"/>
        <v>-1892029.9090194998</v>
      </c>
      <c r="F24" s="9">
        <v>-9.8140652864093597E-2</v>
      </c>
      <c r="G24" s="46"/>
      <c r="H24" s="23">
        <f t="shared" ref="H24" si="10">+I24*$H$10</f>
        <v>-1469570.0020219432</v>
      </c>
      <c r="I24" s="9">
        <v>-9.4212647261510199E-2</v>
      </c>
      <c r="J24" s="59" t="s">
        <v>111</v>
      </c>
      <c r="K24" s="185"/>
      <c r="N24" s="60"/>
    </row>
    <row r="25" spans="1:35" ht="16.5" customHeight="1" x14ac:dyDescent="0.55000000000000004">
      <c r="A25" s="8" t="s">
        <v>16</v>
      </c>
      <c r="B25" s="17">
        <f t="shared" si="8"/>
        <v>25097.869242168676</v>
      </c>
      <c r="C25" s="9">
        <v>1.3868186648490753E-3</v>
      </c>
      <c r="D25" s="42"/>
      <c r="E25" s="17">
        <f t="shared" si="9"/>
        <v>37909.127489534891</v>
      </c>
      <c r="F25" s="9">
        <v>1.966367710994133E-3</v>
      </c>
      <c r="G25" s="42"/>
      <c r="H25" s="23">
        <f>-'S.P. Contingency'!F15*0.33</f>
        <v>-192079.00907477166</v>
      </c>
      <c r="I25" s="9">
        <f>+H25/H11</f>
        <v>-1.2313991101753363E-2</v>
      </c>
      <c r="J25" s="59" t="s">
        <v>111</v>
      </c>
      <c r="K25" s="185"/>
      <c r="N25" s="60"/>
    </row>
    <row r="26" spans="1:35" ht="16.5" customHeight="1" x14ac:dyDescent="0.55000000000000004">
      <c r="A26" s="130" t="s">
        <v>17</v>
      </c>
      <c r="B26" s="134">
        <f>SUM(B27:B31)</f>
        <v>-249264.48209824754</v>
      </c>
      <c r="C26" s="132">
        <f t="shared" si="2"/>
        <v>-1.3773465505070807E-2</v>
      </c>
      <c r="D26" s="133"/>
      <c r="E26" s="134">
        <f>SUM(E27:E31)</f>
        <v>-405069.95725884131</v>
      </c>
      <c r="F26" s="132">
        <f t="shared" si="3"/>
        <v>-2.1011205938924436E-2</v>
      </c>
      <c r="G26" s="133"/>
      <c r="H26" s="134">
        <f>SUM(H27:H31)</f>
        <v>-318740.23582704453</v>
      </c>
      <c r="I26" s="132">
        <f t="shared" si="4"/>
        <v>-2.0434114308748343E-2</v>
      </c>
      <c r="J26" s="59"/>
      <c r="K26" s="185"/>
      <c r="L26" s="68"/>
      <c r="N26" s="60"/>
    </row>
    <row r="27" spans="1:35" ht="16.5" customHeight="1" x14ac:dyDescent="0.55000000000000004">
      <c r="A27" s="8" t="s">
        <v>18</v>
      </c>
      <c r="B27" s="17">
        <f t="shared" ref="B27:B31" si="11">+C27*$B$10</f>
        <v>-106530.00177913775</v>
      </c>
      <c r="C27" s="9">
        <v>-5.8864676283151909E-3</v>
      </c>
      <c r="D27" s="46"/>
      <c r="E27" s="17">
        <f t="shared" ref="E27:E31" si="12">+F27*$E$10</f>
        <v>-208010.16551544293</v>
      </c>
      <c r="F27" s="9">
        <v>-1.0789603984977672E-2</v>
      </c>
      <c r="G27" s="46"/>
      <c r="H27" s="23">
        <f t="shared" ref="H27:H30" si="13">+I27*$H$10</f>
        <v>-179382.02050879769</v>
      </c>
      <c r="I27" s="9">
        <v>-1.15E-2</v>
      </c>
      <c r="J27" s="59" t="s">
        <v>111</v>
      </c>
      <c r="K27" s="185"/>
      <c r="N27" s="60"/>
    </row>
    <row r="28" spans="1:35" ht="16.5" customHeight="1" x14ac:dyDescent="0.55000000000000004">
      <c r="A28" s="8" t="s">
        <v>121</v>
      </c>
      <c r="B28" s="17">
        <f t="shared" si="11"/>
        <v>-103204.75281568995</v>
      </c>
      <c r="C28" s="9">
        <v>-5.702726240419548E-3</v>
      </c>
      <c r="D28" s="46"/>
      <c r="E28" s="17">
        <f t="shared" si="12"/>
        <v>-70766.450565176143</v>
      </c>
      <c r="F28" s="9">
        <v>-3.6706954928318815E-3</v>
      </c>
      <c r="G28" s="46"/>
      <c r="H28" s="23">
        <f t="shared" si="13"/>
        <v>-80423.088065755263</v>
      </c>
      <c r="I28" s="9">
        <v>-5.1558428773012177E-3</v>
      </c>
      <c r="J28" s="59" t="s">
        <v>111</v>
      </c>
      <c r="K28" s="185"/>
      <c r="N28" s="60"/>
    </row>
    <row r="29" spans="1:35" ht="16.5" customHeight="1" x14ac:dyDescent="0.55000000000000004">
      <c r="A29" s="8" t="s">
        <v>19</v>
      </c>
      <c r="B29" s="17">
        <f t="shared" si="11"/>
        <v>-18468.88910154589</v>
      </c>
      <c r="C29" s="9">
        <v>-1.0205248851172324E-3</v>
      </c>
      <c r="D29" s="46"/>
      <c r="E29" s="17">
        <f t="shared" si="12"/>
        <v>-5900.0533333409585</v>
      </c>
      <c r="F29" s="9">
        <v>-3.0603907650018317E-4</v>
      </c>
      <c r="G29" s="46"/>
      <c r="H29" s="23">
        <f t="shared" si="13"/>
        <v>-6331.4101625910289</v>
      </c>
      <c r="I29" s="9">
        <v>-4.0590030518819942E-4</v>
      </c>
      <c r="J29" s="59" t="s">
        <v>111</v>
      </c>
      <c r="K29" s="185"/>
      <c r="N29" s="60"/>
    </row>
    <row r="30" spans="1:35" ht="16.5" customHeight="1" x14ac:dyDescent="0.55000000000000004">
      <c r="A30" s="8" t="s">
        <v>122</v>
      </c>
      <c r="B30" s="17">
        <f t="shared" si="11"/>
        <v>-19595.626310522675</v>
      </c>
      <c r="C30" s="9">
        <v>-1.0827843612788008E-3</v>
      </c>
      <c r="D30" s="46"/>
      <c r="E30" s="17">
        <f t="shared" si="12"/>
        <v>-7681.3697802462711</v>
      </c>
      <c r="F30" s="9">
        <v>-3.9843695997097414E-4</v>
      </c>
      <c r="G30" s="46"/>
      <c r="H30" s="23">
        <f t="shared" si="13"/>
        <v>-11859.684861918631</v>
      </c>
      <c r="I30" s="9">
        <v>-7.6031240770518165E-4</v>
      </c>
      <c r="J30" s="59" t="s">
        <v>111</v>
      </c>
      <c r="K30" s="185"/>
      <c r="N30" s="60"/>
    </row>
    <row r="31" spans="1:35" ht="16.5" customHeight="1" x14ac:dyDescent="0.55000000000000004">
      <c r="A31" s="19" t="s">
        <v>107</v>
      </c>
      <c r="B31" s="17">
        <f t="shared" si="11"/>
        <v>-1465.2120913512847</v>
      </c>
      <c r="C31" s="9">
        <v>-8.0962389940036547E-5</v>
      </c>
      <c r="D31" s="50"/>
      <c r="E31" s="17">
        <f t="shared" si="12"/>
        <v>-112711.918064635</v>
      </c>
      <c r="F31" s="9">
        <v>-5.8464304246437261E-3</v>
      </c>
      <c r="G31" s="50"/>
      <c r="H31" s="23">
        <f>-'S.P. Contingency'!F15*0.07</f>
        <v>-40744.032227981872</v>
      </c>
      <c r="I31" s="9">
        <f>+H31/H11</f>
        <v>-2.6120587185537439E-3</v>
      </c>
      <c r="J31" s="59" t="s">
        <v>111</v>
      </c>
      <c r="K31" s="185"/>
      <c r="N31" s="60"/>
    </row>
    <row r="32" spans="1:35" s="7" customFormat="1" ht="16.5" customHeight="1" x14ac:dyDescent="0.55000000000000004">
      <c r="A32" s="135" t="s">
        <v>20</v>
      </c>
      <c r="B32" s="136">
        <f>+B26+B22+B13</f>
        <v>-5836346.8298491435</v>
      </c>
      <c r="C32" s="137">
        <f t="shared" si="2"/>
        <v>-0.32249569236611952</v>
      </c>
      <c r="D32" s="138"/>
      <c r="E32" s="136">
        <f>+E26+E22+E13</f>
        <v>-6564805.1336108437</v>
      </c>
      <c r="F32" s="137">
        <f t="shared" si="3"/>
        <v>-0.34052012532508086</v>
      </c>
      <c r="G32" s="138"/>
      <c r="H32" s="136">
        <f>+H26+H22+H13</f>
        <v>-5437181.0226792898</v>
      </c>
      <c r="I32" s="137">
        <f t="shared" si="4"/>
        <v>-0.34857217899240467</v>
      </c>
      <c r="J32" s="46"/>
      <c r="K32" s="185"/>
      <c r="L32" s="60"/>
      <c r="M32" s="60"/>
      <c r="N32" s="60"/>
      <c r="O32" s="60"/>
      <c r="P32" s="11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</row>
    <row r="33" spans="1:35" s="13" customFormat="1" ht="22.5" customHeight="1" x14ac:dyDescent="0.55000000000000004">
      <c r="B33" s="18" t="s">
        <v>119</v>
      </c>
      <c r="C33" s="12"/>
      <c r="D33" s="42"/>
      <c r="E33" s="18" t="s">
        <v>119</v>
      </c>
      <c r="F33" s="12"/>
      <c r="G33" s="42"/>
      <c r="H33" s="25"/>
      <c r="I33" s="12"/>
      <c r="J33" s="42"/>
      <c r="K33" s="185" t="s">
        <v>119</v>
      </c>
      <c r="L33" s="54"/>
      <c r="M33" s="54"/>
      <c r="N33" s="166"/>
      <c r="O33" s="54"/>
      <c r="P33" s="55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</row>
    <row r="34" spans="1:35" ht="16.5" customHeight="1" x14ac:dyDescent="0.55000000000000004">
      <c r="A34" s="130" t="s">
        <v>23</v>
      </c>
      <c r="B34" s="145">
        <f>SUM(B35:B41)</f>
        <v>-756572.15239946393</v>
      </c>
      <c r="C34" s="132">
        <f t="shared" si="2"/>
        <v>-4.1805476478048345E-2</v>
      </c>
      <c r="D34" s="133"/>
      <c r="E34" s="145">
        <f>SUM(E35:E41)</f>
        <v>-824942.22531959892</v>
      </c>
      <c r="F34" s="132">
        <f t="shared" ref="F34:F51" si="14">+E34/$E$10</f>
        <v>-4.2790216043666805E-2</v>
      </c>
      <c r="G34" s="133"/>
      <c r="H34" s="145">
        <f>SUM(H35:H41)</f>
        <v>-368374.91714189271</v>
      </c>
      <c r="I34" s="132">
        <f t="shared" ref="I34:I51" si="15">+H34/$H$10</f>
        <v>-2.3616143552826124E-2</v>
      </c>
      <c r="J34" s="46"/>
      <c r="K34" s="185"/>
      <c r="N34" s="60"/>
    </row>
    <row r="35" spans="1:35" ht="16.5" customHeight="1" x14ac:dyDescent="0.55000000000000004">
      <c r="A35" s="8" t="s">
        <v>100</v>
      </c>
      <c r="B35" s="17">
        <f>+C35*$B$10</f>
        <v>-141621.68847137722</v>
      </c>
      <c r="C35" s="9">
        <v>-7.8255089714769754E-3</v>
      </c>
      <c r="D35" s="46"/>
      <c r="E35" s="17">
        <f>+F35*$E$10</f>
        <v>-92679.654800029733</v>
      </c>
      <c r="F35" s="9">
        <v>-4.8073456904322133E-3</v>
      </c>
      <c r="G35" s="46"/>
      <c r="H35" s="23">
        <f t="shared" ref="H35" si="16">+I35*$H$10</f>
        <v>-50412.214132619541</v>
      </c>
      <c r="I35" s="9">
        <v>-3.2318760870278613E-3</v>
      </c>
      <c r="J35" s="59" t="s">
        <v>111</v>
      </c>
      <c r="K35" s="185"/>
      <c r="N35" s="60"/>
    </row>
    <row r="36" spans="1:35" ht="16.5" customHeight="1" x14ac:dyDescent="0.55000000000000004">
      <c r="A36" s="8" t="s">
        <v>213</v>
      </c>
      <c r="B36" s="17">
        <v>-238439.28484848401</v>
      </c>
      <c r="C36" s="9">
        <f t="shared" si="2"/>
        <v>-1.3175303746724355E-2</v>
      </c>
      <c r="D36" s="46"/>
      <c r="E36" s="17">
        <v>-314453.19393939298</v>
      </c>
      <c r="F36" s="9">
        <f t="shared" si="14"/>
        <v>-1.6310863586931495E-2</v>
      </c>
      <c r="G36" s="46"/>
      <c r="H36" s="23">
        <v>-22121.236363636366</v>
      </c>
      <c r="I36" s="9">
        <f t="shared" si="15"/>
        <v>-1.4181701012189322E-3</v>
      </c>
      <c r="J36" s="61" t="s">
        <v>112</v>
      </c>
      <c r="K36" s="185"/>
      <c r="L36" s="34" t="str">
        <f>+L3</f>
        <v>IMPORTANT</v>
      </c>
      <c r="N36" s="60"/>
    </row>
    <row r="37" spans="1:35" ht="16.5" customHeight="1" x14ac:dyDescent="0.55000000000000004">
      <c r="A37" s="8" t="s">
        <v>22</v>
      </c>
      <c r="B37" s="17">
        <v>-63999.357575757582</v>
      </c>
      <c r="C37" s="9">
        <f>+B37/$B$10</f>
        <v>-3.5363760472258091E-3</v>
      </c>
      <c r="D37" s="46"/>
      <c r="E37" s="17">
        <v>-70714.781818181815</v>
      </c>
      <c r="F37" s="9">
        <f>+E37/$E$10</f>
        <v>-3.6680154059376309E-3</v>
      </c>
      <c r="G37" s="46"/>
      <c r="H37" s="23">
        <v>-52782.400000000001</v>
      </c>
      <c r="I37" s="9">
        <f>+H37/$H$10</f>
        <v>-3.3838263069973064E-3</v>
      </c>
      <c r="J37" s="61" t="s">
        <v>112</v>
      </c>
      <c r="K37" s="185"/>
      <c r="L37" s="34" t="str">
        <f>+L2</f>
        <v>VITAL</v>
      </c>
      <c r="N37" s="60"/>
    </row>
    <row r="38" spans="1:35" ht="16.5" customHeight="1" x14ac:dyDescent="0.55000000000000004">
      <c r="A38" s="8" t="s">
        <v>24</v>
      </c>
      <c r="B38" s="17">
        <v>-124618.49090909</v>
      </c>
      <c r="C38" s="9">
        <f t="shared" si="2"/>
        <v>-6.8859729688797028E-3</v>
      </c>
      <c r="D38" s="46"/>
      <c r="E38" s="17">
        <v>-131658.75757575699</v>
      </c>
      <c r="F38" s="9">
        <f t="shared" si="14"/>
        <v>-6.8292136198080848E-3</v>
      </c>
      <c r="G38" s="46"/>
      <c r="H38" s="23">
        <v>-27275.200000000001</v>
      </c>
      <c r="I38" s="9">
        <f t="shared" si="15"/>
        <v>-1.7485854998752033E-3</v>
      </c>
      <c r="J38" s="61" t="s">
        <v>112</v>
      </c>
      <c r="K38" s="185"/>
      <c r="L38" s="34" t="str">
        <f>+L3</f>
        <v>IMPORTANT</v>
      </c>
      <c r="N38" s="60"/>
    </row>
    <row r="39" spans="1:35" ht="16.5" customHeight="1" x14ac:dyDescent="0.55000000000000004">
      <c r="A39" s="8" t="s">
        <v>25</v>
      </c>
      <c r="B39" s="17">
        <f t="shared" ref="B39:B41" si="17">+C39*$B$10</f>
        <v>-33116.587551956625</v>
      </c>
      <c r="C39" s="9">
        <v>-1.8299044149930205E-3</v>
      </c>
      <c r="D39" s="46"/>
      <c r="E39" s="17">
        <f t="shared" ref="E39:E41" si="18">+F39*$E$10</f>
        <v>-33538.375845747796</v>
      </c>
      <c r="F39" s="9">
        <v>-1.7396543711133867E-3</v>
      </c>
      <c r="G39" s="46"/>
      <c r="H39" s="23">
        <f t="shared" ref="H39:H41" si="19">+I39*$H$10</f>
        <v>-76682.23766481482</v>
      </c>
      <c r="I39" s="9">
        <v>-4.9160207396711803E-3</v>
      </c>
      <c r="J39" s="59" t="s">
        <v>111</v>
      </c>
      <c r="K39" s="185"/>
      <c r="M39" s="70" t="s">
        <v>187</v>
      </c>
      <c r="N39" s="60"/>
    </row>
    <row r="40" spans="1:35" ht="16.5" customHeight="1" x14ac:dyDescent="0.55000000000000004">
      <c r="A40" s="8" t="s">
        <v>26</v>
      </c>
      <c r="B40" s="17">
        <f t="shared" si="17"/>
        <v>-93933.851627752694</v>
      </c>
      <c r="C40" s="9">
        <v>-5.1904493342270165E-3</v>
      </c>
      <c r="D40" s="42"/>
      <c r="E40" s="17">
        <f t="shared" si="18"/>
        <v>-105465.99590985382</v>
      </c>
      <c r="F40" s="9">
        <v>-5.4705803773042808E-3</v>
      </c>
      <c r="G40" s="42"/>
      <c r="H40" s="23">
        <f t="shared" si="19"/>
        <v>-90216.836197443714</v>
      </c>
      <c r="I40" s="9">
        <v>-5.7837101696583872E-3</v>
      </c>
      <c r="J40" s="59" t="s">
        <v>111</v>
      </c>
      <c r="K40" s="185"/>
      <c r="N40" s="60"/>
    </row>
    <row r="41" spans="1:35" ht="16.5" customHeight="1" x14ac:dyDescent="0.55000000000000004">
      <c r="A41" s="8" t="s">
        <v>27</v>
      </c>
      <c r="B41" s="17">
        <f t="shared" si="17"/>
        <v>-60842.891415045837</v>
      </c>
      <c r="C41" s="9">
        <v>-3.3619609945214667E-3</v>
      </c>
      <c r="D41" s="46"/>
      <c r="E41" s="17">
        <f t="shared" si="18"/>
        <v>-76431.465430635842</v>
      </c>
      <c r="F41" s="9">
        <v>-3.9645429921397165E-3</v>
      </c>
      <c r="G41" s="46"/>
      <c r="H41" s="23">
        <f t="shared" si="19"/>
        <v>-48884.792783378281</v>
      </c>
      <c r="I41" s="9">
        <v>-3.1339546483772525E-3</v>
      </c>
      <c r="J41" s="59" t="s">
        <v>111</v>
      </c>
      <c r="K41" s="185"/>
      <c r="N41" s="60"/>
    </row>
    <row r="42" spans="1:35" ht="16.5" customHeight="1" x14ac:dyDescent="0.55000000000000004">
      <c r="A42" s="130" t="s">
        <v>29</v>
      </c>
      <c r="B42" s="145">
        <f>SUM(B43:B44)</f>
        <v>-3250128.7939393939</v>
      </c>
      <c r="C42" s="132">
        <f t="shared" si="2"/>
        <v>-0.17959051547792237</v>
      </c>
      <c r="D42" s="133"/>
      <c r="E42" s="145">
        <f>SUM(E43:E44)</f>
        <v>-3564219.6363636386</v>
      </c>
      <c r="F42" s="132">
        <f t="shared" si="14"/>
        <v>-0.18487807216801491</v>
      </c>
      <c r="G42" s="133"/>
      <c r="H42" s="145">
        <f>SUM(H43:H44)</f>
        <v>-3241861.8242424242</v>
      </c>
      <c r="I42" s="132">
        <f t="shared" si="15"/>
        <v>-0.20783248439862137</v>
      </c>
      <c r="J42" s="46"/>
      <c r="K42" s="185"/>
      <c r="N42" s="60"/>
    </row>
    <row r="43" spans="1:35" ht="16.5" customHeight="1" x14ac:dyDescent="0.55000000000000004">
      <c r="A43" s="8" t="s">
        <v>28</v>
      </c>
      <c r="B43" s="17">
        <v>-1963250.2666666668</v>
      </c>
      <c r="C43" s="9">
        <f>+B43/$B$10</f>
        <v>-0.10848220170853018</v>
      </c>
      <c r="D43" s="42"/>
      <c r="E43" s="17">
        <v>-2205078.1878787898</v>
      </c>
      <c r="F43" s="9">
        <f>+E43/$E$10</f>
        <v>-0.11437864271762235</v>
      </c>
      <c r="G43" s="42"/>
      <c r="H43" s="27">
        <v>-1964510.9090909092</v>
      </c>
      <c r="I43" s="16">
        <f>+H43/$H$10</f>
        <v>-0.12594280848474135</v>
      </c>
      <c r="J43" s="61" t="s">
        <v>112</v>
      </c>
      <c r="K43" s="185"/>
      <c r="L43" s="34" t="str">
        <f>+L2</f>
        <v>VITAL</v>
      </c>
      <c r="N43" s="60"/>
    </row>
    <row r="44" spans="1:35" ht="16.5" customHeight="1" x14ac:dyDescent="0.55000000000000004">
      <c r="A44" s="8" t="s">
        <v>86</v>
      </c>
      <c r="B44" s="17">
        <v>-1286878.5272727273</v>
      </c>
      <c r="C44" s="9">
        <f t="shared" si="2"/>
        <v>-7.1108313769392209E-2</v>
      </c>
      <c r="D44" s="42"/>
      <c r="E44" s="17">
        <v>-1359141.4484848487</v>
      </c>
      <c r="F44" s="9">
        <f t="shared" si="14"/>
        <v>-7.0499429450392573E-2</v>
      </c>
      <c r="G44" s="42"/>
      <c r="H44" s="27">
        <v>-1277350.915151515</v>
      </c>
      <c r="I44" s="9">
        <f t="shared" si="15"/>
        <v>-8.1889675913880022E-2</v>
      </c>
      <c r="J44" s="61" t="s">
        <v>112</v>
      </c>
      <c r="K44" s="185"/>
      <c r="L44" s="34" t="str">
        <f>+L2</f>
        <v>VITAL</v>
      </c>
      <c r="N44" s="60"/>
    </row>
    <row r="45" spans="1:35" ht="16.5" customHeight="1" x14ac:dyDescent="0.55000000000000004">
      <c r="A45" s="130" t="s">
        <v>30</v>
      </c>
      <c r="B45" s="145">
        <f>SUM(B46:B51)</f>
        <v>-329611.85454545455</v>
      </c>
      <c r="C45" s="132">
        <f t="shared" si="2"/>
        <v>-1.8213174498141436E-2</v>
      </c>
      <c r="D45" s="133"/>
      <c r="E45" s="145">
        <f>SUM(E46:E51)</f>
        <v>-362748.8727272728</v>
      </c>
      <c r="F45" s="132">
        <f t="shared" si="14"/>
        <v>-1.8815987540925096E-2</v>
      </c>
      <c r="G45" s="133"/>
      <c r="H45" s="145">
        <f>SUM(H46:H51)</f>
        <v>-549929.01818181819</v>
      </c>
      <c r="I45" s="132">
        <f t="shared" si="15"/>
        <v>-3.5255393439950371E-2</v>
      </c>
      <c r="J45" s="61"/>
      <c r="K45" s="185"/>
      <c r="M45" s="115" t="s">
        <v>188</v>
      </c>
      <c r="N45" s="60"/>
      <c r="P45" s="35" t="s">
        <v>197</v>
      </c>
    </row>
    <row r="46" spans="1:35" ht="16.5" customHeight="1" x14ac:dyDescent="0.55000000000000004">
      <c r="A46" s="8" t="s">
        <v>31</v>
      </c>
      <c r="B46" s="17">
        <v>-164569.87878787878</v>
      </c>
      <c r="C46" s="9">
        <f t="shared" si="2"/>
        <v>-9.0935440523977826E-3</v>
      </c>
      <c r="D46" s="46"/>
      <c r="E46" s="17">
        <v>-196210.38181818184</v>
      </c>
      <c r="F46" s="9">
        <f t="shared" si="14"/>
        <v>-1.0177542584582359E-2</v>
      </c>
      <c r="G46" s="46"/>
      <c r="H46" s="27">
        <f>IF($N$5="No",+K46,N46)</f>
        <v>-258191.49090909094</v>
      </c>
      <c r="I46" s="9">
        <f t="shared" si="15"/>
        <v>-1.6552395479952367E-2</v>
      </c>
      <c r="J46" s="61" t="s">
        <v>112</v>
      </c>
      <c r="K46" s="185">
        <v>-258191.49090909094</v>
      </c>
      <c r="L46" s="34" t="str">
        <f>+L5</f>
        <v>NOT FINANCIAL</v>
      </c>
      <c r="M46" s="116">
        <f t="shared" ref="M46:M51" si="20">+H46/12*10</f>
        <v>-215159.57575757577</v>
      </c>
      <c r="N46" s="119">
        <v>-215159.57575757577</v>
      </c>
      <c r="P46" s="35">
        <v>-258191.49090909094</v>
      </c>
    </row>
    <row r="47" spans="1:35" ht="16.5" customHeight="1" x14ac:dyDescent="0.55000000000000004">
      <c r="A47" s="8" t="s">
        <v>32</v>
      </c>
      <c r="B47" s="17">
        <v>-108556.84848484848</v>
      </c>
      <c r="C47" s="9">
        <f t="shared" si="2"/>
        <v>-5.9984639422311454E-3</v>
      </c>
      <c r="D47" s="46"/>
      <c r="E47" s="17">
        <v>-108690.66666666667</v>
      </c>
      <c r="F47" s="9">
        <f t="shared" si="14"/>
        <v>-5.6378458585932987E-3</v>
      </c>
      <c r="G47" s="46"/>
      <c r="H47" s="27">
        <f>IF($N$5="No",+K47,N47)</f>
        <v>-162418.18181818182</v>
      </c>
      <c r="I47" s="9">
        <f t="shared" si="15"/>
        <v>-1.041246545005599E-2</v>
      </c>
      <c r="J47" s="61" t="s">
        <v>112</v>
      </c>
      <c r="K47" s="185">
        <v>-162418.18181818182</v>
      </c>
      <c r="L47" s="34" t="str">
        <f>+L5</f>
        <v>NOT FINANCIAL</v>
      </c>
      <c r="M47" s="116">
        <f t="shared" si="20"/>
        <v>-135348.48484848486</v>
      </c>
      <c r="N47" s="119">
        <v>-135348.48484848486</v>
      </c>
      <c r="P47" s="35">
        <v>-162418.18181818182</v>
      </c>
    </row>
    <row r="48" spans="1:35" ht="16.5" customHeight="1" x14ac:dyDescent="0.55000000000000004">
      <c r="A48" s="8" t="s">
        <v>33</v>
      </c>
      <c r="B48" s="17">
        <v>-16271.945454545456</v>
      </c>
      <c r="C48" s="9">
        <f t="shared" si="2"/>
        <v>-8.9912962140445776E-4</v>
      </c>
      <c r="D48" s="46"/>
      <c r="E48" s="17">
        <v>-17035.957575757577</v>
      </c>
      <c r="F48" s="9">
        <f t="shared" si="14"/>
        <v>-8.836646771172255E-4</v>
      </c>
      <c r="G48" s="46"/>
      <c r="H48" s="27">
        <f>IF($N$5="No",+K48,N48)</f>
        <v>-24535.127272727274</v>
      </c>
      <c r="I48" s="9">
        <f t="shared" si="15"/>
        <v>-1.572922207231608E-3</v>
      </c>
      <c r="J48" s="61" t="s">
        <v>112</v>
      </c>
      <c r="K48" s="185">
        <v>-24535.127272727274</v>
      </c>
      <c r="L48" s="34" t="str">
        <f>+L5</f>
        <v>NOT FINANCIAL</v>
      </c>
      <c r="M48" s="116">
        <f t="shared" si="20"/>
        <v>-20445.939393939396</v>
      </c>
      <c r="N48" s="119">
        <v>-20445.939393939396</v>
      </c>
      <c r="P48" s="35">
        <v>-24535.127272727274</v>
      </c>
    </row>
    <row r="49" spans="1:35" ht="16.5" customHeight="1" x14ac:dyDescent="0.55000000000000004">
      <c r="A49" s="8" t="s">
        <v>35</v>
      </c>
      <c r="B49" s="17">
        <v>-38967.187878787881</v>
      </c>
      <c r="C49" s="9">
        <f t="shared" si="2"/>
        <v>-2.1531877047230208E-3</v>
      </c>
      <c r="D49" s="46"/>
      <c r="E49" s="17">
        <v>-39701.933333333334</v>
      </c>
      <c r="F49" s="9">
        <f t="shared" si="14"/>
        <v>-2.0593615559276533E-3</v>
      </c>
      <c r="G49" s="46"/>
      <c r="H49" s="27">
        <f>IF($N$5="No",+K49,N49)</f>
        <v>-103671.49090909091</v>
      </c>
      <c r="I49" s="9">
        <f t="shared" si="15"/>
        <v>-6.6462744820965682E-3</v>
      </c>
      <c r="J49" s="61" t="s">
        <v>112</v>
      </c>
      <c r="K49" s="185">
        <v>-103671.49090909091</v>
      </c>
      <c r="L49" s="34" t="str">
        <f>+L5</f>
        <v>NOT FINANCIAL</v>
      </c>
      <c r="M49" s="116">
        <f t="shared" si="20"/>
        <v>-86392.909090909088</v>
      </c>
      <c r="N49" s="119">
        <v>-86392.909090909088</v>
      </c>
      <c r="P49" s="35">
        <v>-103671.49090909091</v>
      </c>
    </row>
    <row r="50" spans="1:35" ht="16.5" customHeight="1" x14ac:dyDescent="0.55000000000000004">
      <c r="A50" s="8" t="s">
        <v>36</v>
      </c>
      <c r="B50" s="17">
        <v>-1245.9939393939394</v>
      </c>
      <c r="C50" s="9">
        <f t="shared" si="2"/>
        <v>-6.8849177385029318E-5</v>
      </c>
      <c r="D50" s="62"/>
      <c r="E50" s="17">
        <v>-1109.9333333333334</v>
      </c>
      <c r="F50" s="9">
        <f t="shared" si="14"/>
        <v>-5.7572864704555948E-5</v>
      </c>
      <c r="G50" s="62"/>
      <c r="H50" s="27">
        <f>IF($N$5="No",+K50,N50)</f>
        <v>-1112.7272727272727</v>
      </c>
      <c r="I50" s="9">
        <f t="shared" si="15"/>
        <v>-7.1335820613839312E-5</v>
      </c>
      <c r="J50" s="61" t="s">
        <v>112</v>
      </c>
      <c r="K50" s="185">
        <v>-1112.7272727272727</v>
      </c>
      <c r="L50" s="34" t="str">
        <f>+L5</f>
        <v>NOT FINANCIAL</v>
      </c>
      <c r="M50" s="116">
        <f t="shared" si="20"/>
        <v>-927.27272727272737</v>
      </c>
      <c r="N50" s="119">
        <v>-927.27272727272737</v>
      </c>
      <c r="P50" s="35">
        <v>-1112.7272727272727</v>
      </c>
    </row>
    <row r="51" spans="1:35" ht="16.5" customHeight="1" x14ac:dyDescent="0.55000000000000004">
      <c r="A51" s="8" t="s">
        <v>89</v>
      </c>
      <c r="B51" s="17">
        <v>0</v>
      </c>
      <c r="C51" s="9">
        <f t="shared" si="2"/>
        <v>0</v>
      </c>
      <c r="D51" s="41"/>
      <c r="E51" s="17">
        <v>0</v>
      </c>
      <c r="F51" s="9">
        <f t="shared" si="14"/>
        <v>0</v>
      </c>
      <c r="G51" s="41"/>
      <c r="H51" s="26">
        <f>+K51</f>
        <v>0</v>
      </c>
      <c r="I51" s="9">
        <f t="shared" si="15"/>
        <v>0</v>
      </c>
      <c r="J51" s="61" t="s">
        <v>112</v>
      </c>
      <c r="K51" s="185"/>
      <c r="L51" s="34" t="str">
        <f>+L5</f>
        <v>NOT FINANCIAL</v>
      </c>
      <c r="M51" s="116">
        <f t="shared" si="20"/>
        <v>0</v>
      </c>
      <c r="N51" s="119">
        <v>0</v>
      </c>
      <c r="P51" s="35">
        <v>0</v>
      </c>
    </row>
    <row r="52" spans="1:35" s="7" customFormat="1" ht="16.5" customHeight="1" x14ac:dyDescent="0.55000000000000004">
      <c r="A52" s="135" t="s">
        <v>101</v>
      </c>
      <c r="B52" s="136">
        <f>+B45+B42+B34</f>
        <v>-4336312.800884312</v>
      </c>
      <c r="C52" s="137">
        <f>+B52/$B$10</f>
        <v>-0.23960916645411212</v>
      </c>
      <c r="D52" s="138"/>
      <c r="E52" s="136">
        <f>+E45+E42+E34</f>
        <v>-4751910.7344105104</v>
      </c>
      <c r="F52" s="137">
        <f>+E52/$E$10</f>
        <v>-0.24648427575260681</v>
      </c>
      <c r="G52" s="138"/>
      <c r="H52" s="136">
        <f>+H45+H42+H34</f>
        <v>-4160165.7595661348</v>
      </c>
      <c r="I52" s="137">
        <f>+H52/$H$10</f>
        <v>-0.26670402139139787</v>
      </c>
      <c r="J52" s="46"/>
      <c r="K52" s="185"/>
      <c r="L52" s="60"/>
      <c r="M52" s="60"/>
      <c r="N52" s="60"/>
      <c r="O52" s="60"/>
      <c r="P52" s="119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</row>
    <row r="53" spans="1:35" s="13" customFormat="1" ht="10.5" customHeight="1" x14ac:dyDescent="0.55000000000000004">
      <c r="A53" s="11"/>
      <c r="B53" s="18"/>
      <c r="C53" s="12"/>
      <c r="D53" s="42"/>
      <c r="E53" s="18"/>
      <c r="F53" s="12"/>
      <c r="G53" s="42"/>
      <c r="H53" s="18"/>
      <c r="I53" s="12"/>
      <c r="J53" s="42"/>
      <c r="K53" s="185" t="s">
        <v>119</v>
      </c>
      <c r="L53" s="54"/>
      <c r="M53" s="54"/>
      <c r="N53" s="166"/>
      <c r="O53" s="54"/>
      <c r="P53" s="55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</row>
    <row r="54" spans="1:35" s="7" customFormat="1" ht="16.5" customHeight="1" x14ac:dyDescent="0.55000000000000004">
      <c r="A54" s="146" t="s">
        <v>37</v>
      </c>
      <c r="B54" s="147">
        <f>+B52+B32</f>
        <v>-10172659.630733456</v>
      </c>
      <c r="C54" s="148">
        <f t="shared" si="2"/>
        <v>-0.56210485882023165</v>
      </c>
      <c r="D54" s="149"/>
      <c r="E54" s="147">
        <f>+E52+E32</f>
        <v>-11316715.868021354</v>
      </c>
      <c r="F54" s="148">
        <f>+E54/$E$10</f>
        <v>-0.5870044010776877</v>
      </c>
      <c r="G54" s="149"/>
      <c r="H54" s="147">
        <f>+H52+H32</f>
        <v>-9597346.7822454236</v>
      </c>
      <c r="I54" s="148">
        <f>+H54/$H$10</f>
        <v>-0.61527620038380249</v>
      </c>
      <c r="J54" s="46"/>
      <c r="K54" s="185"/>
      <c r="L54" s="60"/>
      <c r="M54" s="60"/>
      <c r="N54" s="60"/>
      <c r="O54" s="60"/>
      <c r="P54" s="119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</row>
    <row r="55" spans="1:35" s="13" customFormat="1" ht="10.5" customHeight="1" x14ac:dyDescent="0.55000000000000004">
      <c r="A55" s="11"/>
      <c r="B55" s="18"/>
      <c r="C55" s="12"/>
      <c r="D55" s="42"/>
      <c r="E55" s="18"/>
      <c r="F55" s="12"/>
      <c r="G55" s="42"/>
      <c r="H55" s="18"/>
      <c r="I55" s="12"/>
      <c r="J55" s="42"/>
      <c r="K55" s="185" t="s">
        <v>119</v>
      </c>
      <c r="L55" s="54"/>
      <c r="M55" s="54"/>
      <c r="N55" s="166"/>
      <c r="O55" s="54"/>
      <c r="P55" s="55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35" ht="16.5" customHeight="1" x14ac:dyDescent="0.55000000000000004">
      <c r="A56" s="130" t="s">
        <v>47</v>
      </c>
      <c r="B56" s="131">
        <f>SUM(B57:B70)</f>
        <v>-3682249.4189629359</v>
      </c>
      <c r="C56" s="132">
        <f t="shared" si="2"/>
        <v>-0.2034679587168893</v>
      </c>
      <c r="D56" s="133"/>
      <c r="E56" s="131">
        <f>SUM(E57:E70)</f>
        <v>-3502006.1397417393</v>
      </c>
      <c r="F56" s="132">
        <f t="shared" ref="F56:F119" si="21">+E56/$E$10</f>
        <v>-0.18165102319467422</v>
      </c>
      <c r="G56" s="133"/>
      <c r="H56" s="131">
        <f>SUM(H57:H70)</f>
        <v>-2957690.5903570498</v>
      </c>
      <c r="I56" s="132">
        <f t="shared" ref="I56:I119" si="22">+H56/$H$10</f>
        <v>-0.18961455385902456</v>
      </c>
      <c r="J56" s="46"/>
      <c r="K56" s="185"/>
      <c r="N56" s="60"/>
    </row>
    <row r="57" spans="1:35" ht="16.5" customHeight="1" x14ac:dyDescent="0.55000000000000004">
      <c r="A57" s="8" t="s">
        <v>90</v>
      </c>
      <c r="B57" s="17">
        <f t="shared" ref="B57:B58" si="23">+C57*$B$10</f>
        <v>-1017148.7610524063</v>
      </c>
      <c r="C57" s="9">
        <v>-5.6204009716710947E-2</v>
      </c>
      <c r="D57" s="46"/>
      <c r="E57" s="17">
        <f t="shared" ref="E57:E58" si="24">+F57*$E$10</f>
        <v>-974831.9548180796</v>
      </c>
      <c r="F57" s="9">
        <v>-5.05650804052067E-2</v>
      </c>
      <c r="G57" s="46"/>
      <c r="H57" s="23">
        <f t="shared" ref="H57:H58" si="25">+I57*$H$10</f>
        <v>-912217.02499503887</v>
      </c>
      <c r="I57" s="16">
        <v>-5.8481311324779316E-2</v>
      </c>
      <c r="J57" s="59" t="s">
        <v>111</v>
      </c>
      <c r="K57" s="185"/>
      <c r="N57" s="60"/>
    </row>
    <row r="58" spans="1:35" ht="16.5" customHeight="1" x14ac:dyDescent="0.55000000000000004">
      <c r="A58" s="8" t="s">
        <v>45</v>
      </c>
      <c r="B58" s="17">
        <f t="shared" si="23"/>
        <v>-527949.37912265141</v>
      </c>
      <c r="C58" s="9">
        <v>-2.9172598119708258E-2</v>
      </c>
      <c r="D58" s="46"/>
      <c r="E58" s="17">
        <f t="shared" si="24"/>
        <v>-515911.81522668962</v>
      </c>
      <c r="F58" s="9">
        <v>-2.6760635297190284E-2</v>
      </c>
      <c r="G58" s="46"/>
      <c r="H58" s="23">
        <f t="shared" si="25"/>
        <v>-437603.89263473771</v>
      </c>
      <c r="I58" s="16">
        <v>-2.8054343189052606E-2</v>
      </c>
      <c r="J58" s="59" t="s">
        <v>111</v>
      </c>
      <c r="K58" s="185"/>
      <c r="N58" s="60"/>
    </row>
    <row r="59" spans="1:35" ht="16.5" customHeight="1" x14ac:dyDescent="0.55000000000000004">
      <c r="A59" s="8" t="s">
        <v>38</v>
      </c>
      <c r="B59" s="17">
        <v>-437351.4303030303</v>
      </c>
      <c r="C59" s="9">
        <f t="shared" si="2"/>
        <v>-2.4166478866804095E-2</v>
      </c>
      <c r="D59" s="46"/>
      <c r="E59" s="17">
        <v>-490940.10909090913</v>
      </c>
      <c r="F59" s="9">
        <f t="shared" si="21"/>
        <v>-2.5465338890081249E-2</v>
      </c>
      <c r="G59" s="46"/>
      <c r="H59" s="23">
        <v>-488421.81818181823</v>
      </c>
      <c r="I59" s="9">
        <f t="shared" si="22"/>
        <v>-3.1312229024733469E-2</v>
      </c>
      <c r="J59" s="61" t="s">
        <v>112</v>
      </c>
      <c r="K59" s="185"/>
      <c r="L59" s="34" t="str">
        <f>+L3</f>
        <v>IMPORTANT</v>
      </c>
      <c r="M59" s="70" t="s">
        <v>194</v>
      </c>
      <c r="N59" s="60"/>
    </row>
    <row r="60" spans="1:35" ht="16.5" customHeight="1" x14ac:dyDescent="0.55000000000000004">
      <c r="A60" s="8" t="s">
        <v>39</v>
      </c>
      <c r="B60" s="17">
        <v>-234336.47272727275</v>
      </c>
      <c r="C60" s="9">
        <f t="shared" si="2"/>
        <v>-1.2948596994323842E-2</v>
      </c>
      <c r="D60" s="46"/>
      <c r="E60" s="17">
        <v>-215588.72727272729</v>
      </c>
      <c r="F60" s="9">
        <f t="shared" si="21"/>
        <v>-1.1182708235119352E-2</v>
      </c>
      <c r="G60" s="46"/>
      <c r="H60" s="23">
        <v>-238608.48484848486</v>
      </c>
      <c r="I60" s="9">
        <f t="shared" si="22"/>
        <v>-1.5296948757598579E-2</v>
      </c>
      <c r="J60" s="61" t="s">
        <v>112</v>
      </c>
      <c r="K60" s="185"/>
      <c r="L60" s="34" t="str">
        <f>+L2</f>
        <v>VITAL</v>
      </c>
      <c r="N60" s="60"/>
    </row>
    <row r="61" spans="1:35" ht="16.5" customHeight="1" x14ac:dyDescent="0.55000000000000004">
      <c r="A61" s="8" t="s">
        <v>91</v>
      </c>
      <c r="B61" s="17">
        <v>-49393.939393939399</v>
      </c>
      <c r="C61" s="9">
        <f t="shared" si="2"/>
        <v>-2.7293327740685984E-3</v>
      </c>
      <c r="D61" s="46"/>
      <c r="E61" s="17">
        <v>-47424.242424242424</v>
      </c>
      <c r="F61" s="9">
        <f t="shared" si="21"/>
        <v>-2.4599220609108395E-3</v>
      </c>
      <c r="G61" s="46"/>
      <c r="H61" s="23">
        <v>-55760</v>
      </c>
      <c r="I61" s="9">
        <f t="shared" si="22"/>
        <v>-3.5747172329823919E-3</v>
      </c>
      <c r="J61" s="61" t="s">
        <v>112</v>
      </c>
      <c r="K61" s="185"/>
      <c r="L61" s="34" t="str">
        <f>+L3</f>
        <v>IMPORTANT</v>
      </c>
      <c r="N61" s="60"/>
    </row>
    <row r="62" spans="1:35" ht="16.5" customHeight="1" x14ac:dyDescent="0.55000000000000004">
      <c r="A62" s="8" t="s">
        <v>92</v>
      </c>
      <c r="B62" s="17">
        <v>-433710.47878787882</v>
      </c>
      <c r="C62" s="9">
        <f t="shared" si="2"/>
        <v>-2.3965292882834634E-2</v>
      </c>
      <c r="D62" s="46"/>
      <c r="E62" s="17">
        <v>-451111.98787878791</v>
      </c>
      <c r="F62" s="9">
        <f t="shared" si="21"/>
        <v>-2.3399431898085837E-2</v>
      </c>
      <c r="G62" s="46"/>
      <c r="H62" s="23">
        <v>-66640</v>
      </c>
      <c r="I62" s="9">
        <f t="shared" si="22"/>
        <v>-4.272223034539932E-3</v>
      </c>
      <c r="J62" s="61" t="s">
        <v>112</v>
      </c>
      <c r="K62" s="185"/>
      <c r="L62" s="34" t="str">
        <f>+L3</f>
        <v>IMPORTANT</v>
      </c>
      <c r="M62" s="70" t="s">
        <v>195</v>
      </c>
      <c r="N62" s="60"/>
    </row>
    <row r="63" spans="1:35" ht="16.5" customHeight="1" x14ac:dyDescent="0.55000000000000004">
      <c r="A63" s="8" t="s">
        <v>40</v>
      </c>
      <c r="B63" s="17">
        <v>-235193.91515151519</v>
      </c>
      <c r="C63" s="9">
        <f t="shared" si="2"/>
        <v>-1.2995976201956933E-2</v>
      </c>
      <c r="D63" s="46"/>
      <c r="E63" s="17">
        <v>-242185.15151515152</v>
      </c>
      <c r="F63" s="9">
        <f t="shared" si="21"/>
        <v>-1.256227968193363E-2</v>
      </c>
      <c r="G63" s="46"/>
      <c r="H63" s="23">
        <v>-234470.30303030304</v>
      </c>
      <c r="I63" s="9">
        <f t="shared" si="22"/>
        <v>-1.5031654104466066E-2</v>
      </c>
      <c r="J63" s="61" t="s">
        <v>112</v>
      </c>
      <c r="K63" s="185"/>
      <c r="L63" s="34" t="str">
        <f>+L2</f>
        <v>VITAL</v>
      </c>
      <c r="N63" s="60"/>
    </row>
    <row r="64" spans="1:35" ht="16.5" customHeight="1" x14ac:dyDescent="0.55000000000000004">
      <c r="A64" s="8" t="s">
        <v>41</v>
      </c>
      <c r="B64" s="17">
        <v>-317237</v>
      </c>
      <c r="C64" s="9">
        <f t="shared" si="2"/>
        <v>-1.7529384209299136E-2</v>
      </c>
      <c r="D64" s="46"/>
      <c r="E64" s="17">
        <v>-202477.39393939395</v>
      </c>
      <c r="F64" s="9">
        <f t="shared" si="21"/>
        <v>-1.0502616019283864E-2</v>
      </c>
      <c r="G64" s="46"/>
      <c r="H64" s="23">
        <v>-306061.81818181818</v>
      </c>
      <c r="I64" s="9">
        <f t="shared" si="22"/>
        <v>-1.9621313769951021E-2</v>
      </c>
      <c r="J64" s="61" t="s">
        <v>112</v>
      </c>
      <c r="K64" s="185"/>
      <c r="L64" s="34" t="str">
        <f>+L3</f>
        <v>IMPORTANT</v>
      </c>
      <c r="M64" s="70" t="s">
        <v>194</v>
      </c>
      <c r="N64" s="60"/>
    </row>
    <row r="65" spans="1:35" ht="16.5" customHeight="1" x14ac:dyDescent="0.55000000000000004">
      <c r="A65" s="8" t="s">
        <v>42</v>
      </c>
      <c r="B65" s="17">
        <v>-22989.309090909093</v>
      </c>
      <c r="C65" s="9">
        <f t="shared" si="2"/>
        <v>-1.2703071576167942E-3</v>
      </c>
      <c r="D65" s="46"/>
      <c r="E65" s="17">
        <v>-25422.448484848486</v>
      </c>
      <c r="F65" s="9">
        <f t="shared" si="21"/>
        <v>-1.3186766656346253E-3</v>
      </c>
      <c r="G65" s="46"/>
      <c r="H65" s="23">
        <v>-29998.78787878788</v>
      </c>
      <c r="I65" s="9">
        <f t="shared" si="22"/>
        <v>-1.9231919655467418E-3</v>
      </c>
      <c r="J65" s="61" t="s">
        <v>112</v>
      </c>
      <c r="K65" s="185"/>
      <c r="L65" s="34" t="str">
        <f>+L3</f>
        <v>IMPORTANT</v>
      </c>
      <c r="N65" s="60"/>
    </row>
    <row r="66" spans="1:35" ht="16.5" customHeight="1" x14ac:dyDescent="0.55000000000000004">
      <c r="A66" s="8" t="s">
        <v>43</v>
      </c>
      <c r="B66" s="17">
        <v>-195652.13333333336</v>
      </c>
      <c r="C66" s="9">
        <f t="shared" si="2"/>
        <v>-1.0811038487216255E-2</v>
      </c>
      <c r="D66" s="46"/>
      <c r="E66" s="17">
        <v>-125104.6484848485</v>
      </c>
      <c r="F66" s="9">
        <f t="shared" si="21"/>
        <v>-6.4892483042187634E-3</v>
      </c>
      <c r="G66" s="46"/>
      <c r="H66" s="23">
        <v>-136915.15151515152</v>
      </c>
      <c r="I66" s="9">
        <f t="shared" si="22"/>
        <v>-8.7774919579915248E-3</v>
      </c>
      <c r="J66" s="61" t="s">
        <v>112</v>
      </c>
      <c r="K66" s="185"/>
      <c r="L66" s="34" t="str">
        <f>+L4</f>
        <v>EMPOWERING</v>
      </c>
      <c r="M66" s="70" t="s">
        <v>189</v>
      </c>
      <c r="N66" s="60"/>
    </row>
    <row r="67" spans="1:35" ht="16.5" customHeight="1" x14ac:dyDescent="0.55000000000000004">
      <c r="A67" s="8" t="s">
        <v>103</v>
      </c>
      <c r="B67" s="17">
        <v>-87453.545454545456</v>
      </c>
      <c r="C67" s="9">
        <f t="shared" si="2"/>
        <v>-4.8323707472272574E-3</v>
      </c>
      <c r="D67" s="46"/>
      <c r="E67" s="17">
        <v>-89295.642424242425</v>
      </c>
      <c r="F67" s="9">
        <f t="shared" si="21"/>
        <v>-4.6318150699717541E-3</v>
      </c>
      <c r="G67" s="46"/>
      <c r="H67" s="23">
        <v>-20485.454545454548</v>
      </c>
      <c r="I67" s="9">
        <f t="shared" si="22"/>
        <v>-1.3133017824446529E-3</v>
      </c>
      <c r="J67" s="61" t="s">
        <v>112</v>
      </c>
      <c r="K67" s="185"/>
      <c r="L67" s="34" t="str">
        <f>+L3</f>
        <v>IMPORTANT</v>
      </c>
      <c r="N67" s="60"/>
    </row>
    <row r="68" spans="1:35" ht="16.5" customHeight="1" x14ac:dyDescent="0.55000000000000004">
      <c r="A68" s="8" t="s">
        <v>44</v>
      </c>
      <c r="B68" s="17">
        <v>-13961.212121212122</v>
      </c>
      <c r="C68" s="9">
        <f t="shared" ref="C68:C127" si="26">+B68/$B$10</f>
        <v>-7.7144674580913153E-4</v>
      </c>
      <c r="D68" s="46"/>
      <c r="E68" s="17">
        <v>-10391.99393939394</v>
      </c>
      <c r="F68" s="9">
        <f t="shared" si="21"/>
        <v>-5.3903855584415828E-4</v>
      </c>
      <c r="G68" s="46"/>
      <c r="H68" s="23">
        <v>-5454.545454545455</v>
      </c>
      <c r="I68" s="9">
        <f t="shared" si="22"/>
        <v>-3.4968539516587899E-4</v>
      </c>
      <c r="J68" s="61" t="s">
        <v>112</v>
      </c>
      <c r="K68" s="185"/>
      <c r="L68" s="34" t="str">
        <f>+L3</f>
        <v>IMPORTANT</v>
      </c>
      <c r="N68" s="60"/>
    </row>
    <row r="69" spans="1:35" ht="16.5" customHeight="1" x14ac:dyDescent="0.55000000000000004">
      <c r="A69" s="8" t="s">
        <v>104</v>
      </c>
      <c r="B69" s="17">
        <v>-81900.600000000006</v>
      </c>
      <c r="C69" s="9">
        <f t="shared" si="26"/>
        <v>-4.5255348032295258E-3</v>
      </c>
      <c r="D69" s="46"/>
      <c r="E69" s="17">
        <v>-66115.818181818191</v>
      </c>
      <c r="F69" s="9">
        <f t="shared" si="21"/>
        <v>-3.4294645819684414E-3</v>
      </c>
      <c r="G69" s="46"/>
      <c r="H69" s="23">
        <v>-7778.1818181818189</v>
      </c>
      <c r="I69" s="9">
        <f t="shared" si="22"/>
        <v>-4.9865137350654342E-4</v>
      </c>
      <c r="J69" s="61" t="s">
        <v>112</v>
      </c>
      <c r="K69" s="185"/>
      <c r="L69" s="34" t="str">
        <f>+L3</f>
        <v>IMPORTANT</v>
      </c>
      <c r="N69" s="60"/>
    </row>
    <row r="70" spans="1:35" ht="16.5" customHeight="1" x14ac:dyDescent="0.55000000000000004">
      <c r="A70" s="8" t="s">
        <v>46</v>
      </c>
      <c r="B70" s="17">
        <v>-27971.242424242428</v>
      </c>
      <c r="C70" s="9">
        <f t="shared" si="26"/>
        <v>-1.5455910100839224E-3</v>
      </c>
      <c r="D70" s="42"/>
      <c r="E70" s="17">
        <v>-45204.206060606062</v>
      </c>
      <c r="F70" s="9">
        <f t="shared" si="21"/>
        <v>-2.3447675292247051E-3</v>
      </c>
      <c r="G70" s="42"/>
      <c r="H70" s="23">
        <v>-17275.127272727274</v>
      </c>
      <c r="I70" s="9">
        <f t="shared" si="22"/>
        <v>-1.1074909462658231E-3</v>
      </c>
      <c r="J70" s="61" t="s">
        <v>112</v>
      </c>
      <c r="K70" s="185"/>
      <c r="L70" s="34" t="str">
        <f>+L3</f>
        <v>IMPORTANT</v>
      </c>
      <c r="N70" s="60"/>
    </row>
    <row r="71" spans="1:35" ht="16.5" customHeight="1" x14ac:dyDescent="0.55000000000000004">
      <c r="A71" s="130" t="s">
        <v>48</v>
      </c>
      <c r="B71" s="145">
        <f>SUM(B72)</f>
        <v>-1204227.5333333334</v>
      </c>
      <c r="C71" s="132">
        <f t="shared" si="26"/>
        <v>-6.6541314875681545E-2</v>
      </c>
      <c r="D71" s="133"/>
      <c r="E71" s="145">
        <f>SUM(E72)</f>
        <v>-1207198.187878788</v>
      </c>
      <c r="F71" s="132">
        <f t="shared" si="21"/>
        <v>-6.2618047278212421E-2</v>
      </c>
      <c r="G71" s="133"/>
      <c r="H71" s="145">
        <f>SUM(H72)</f>
        <v>-1097087.4969696971</v>
      </c>
      <c r="I71" s="132">
        <f t="shared" si="22"/>
        <v>-7.0333170400055489E-2</v>
      </c>
      <c r="J71" s="46"/>
      <c r="K71" s="185"/>
      <c r="N71" s="60"/>
    </row>
    <row r="72" spans="1:35" ht="16.5" customHeight="1" x14ac:dyDescent="0.55000000000000004">
      <c r="A72" s="8" t="s">
        <v>87</v>
      </c>
      <c r="B72" s="17">
        <v>-1204227.5333333334</v>
      </c>
      <c r="C72" s="9">
        <f t="shared" si="26"/>
        <v>-6.6541314875681545E-2</v>
      </c>
      <c r="D72" s="42"/>
      <c r="E72" s="17">
        <v>-1207198.187878788</v>
      </c>
      <c r="F72" s="9">
        <f t="shared" si="21"/>
        <v>-6.2618047278212421E-2</v>
      </c>
      <c r="G72" s="42"/>
      <c r="H72" s="27">
        <v>-1097087.4969696971</v>
      </c>
      <c r="I72" s="9">
        <f t="shared" si="22"/>
        <v>-7.0333170400055489E-2</v>
      </c>
      <c r="J72" s="61" t="s">
        <v>112</v>
      </c>
      <c r="K72" s="185"/>
      <c r="L72" s="34" t="str">
        <f>+L2</f>
        <v>VITAL</v>
      </c>
      <c r="N72" s="60"/>
    </row>
    <row r="73" spans="1:35" ht="16.5" customHeight="1" x14ac:dyDescent="0.55000000000000004">
      <c r="A73" s="130" t="s">
        <v>49</v>
      </c>
      <c r="B73" s="145">
        <f>SUM(B74)</f>
        <v>-14019.775757575759</v>
      </c>
      <c r="C73" s="132">
        <f t="shared" si="26"/>
        <v>-7.7468276330555186E-4</v>
      </c>
      <c r="D73" s="133"/>
      <c r="E73" s="145">
        <f>SUM(E74)</f>
        <v>-9420.6727272727276</v>
      </c>
      <c r="F73" s="132">
        <f t="shared" si="21"/>
        <v>-4.8865557963226574E-4</v>
      </c>
      <c r="G73" s="133"/>
      <c r="H73" s="145">
        <f>SUM(H74)</f>
        <v>-9767.2727272727279</v>
      </c>
      <c r="I73" s="132">
        <f t="shared" si="22"/>
        <v>-6.261699809437006E-4</v>
      </c>
      <c r="J73" s="46"/>
      <c r="K73" s="185"/>
      <c r="N73" s="60"/>
    </row>
    <row r="74" spans="1:35" ht="16.5" customHeight="1" x14ac:dyDescent="0.55000000000000004">
      <c r="A74" s="8" t="s">
        <v>50</v>
      </c>
      <c r="B74" s="17">
        <v>-14019.775757575759</v>
      </c>
      <c r="C74" s="9">
        <f t="shared" si="26"/>
        <v>-7.7468276330555186E-4</v>
      </c>
      <c r="D74" s="62"/>
      <c r="E74" s="17">
        <v>-9420.6727272727276</v>
      </c>
      <c r="F74" s="9">
        <f t="shared" si="21"/>
        <v>-4.8865557963226574E-4</v>
      </c>
      <c r="G74" s="62"/>
      <c r="H74" s="27">
        <f>IF($N$5="No",+K74,N74)</f>
        <v>-9767.2727272727279</v>
      </c>
      <c r="I74" s="9">
        <f t="shared" si="22"/>
        <v>-6.261699809437006E-4</v>
      </c>
      <c r="J74" s="61" t="s">
        <v>112</v>
      </c>
      <c r="K74" s="185">
        <v>-9767.2727272727279</v>
      </c>
      <c r="L74" s="34" t="str">
        <f>+L5</f>
        <v>NOT FINANCIAL</v>
      </c>
      <c r="M74" s="116">
        <f>+H74/12*10</f>
        <v>-8139.3939393939399</v>
      </c>
      <c r="N74" s="169">
        <v>-8139.3939393939399</v>
      </c>
      <c r="P74" s="35">
        <v>-9767.2727272727279</v>
      </c>
    </row>
    <row r="75" spans="1:35" ht="16.5" customHeight="1" x14ac:dyDescent="0.55000000000000004">
      <c r="A75" s="130" t="s">
        <v>51</v>
      </c>
      <c r="B75" s="131">
        <f>SUM(B76)</f>
        <v>-28961.842424242426</v>
      </c>
      <c r="C75" s="132">
        <f t="shared" si="26"/>
        <v>-1.6003280300334608E-3</v>
      </c>
      <c r="D75" s="150"/>
      <c r="E75" s="131">
        <f>SUM(E76)</f>
        <v>-36363.636363636368</v>
      </c>
      <c r="F75" s="132">
        <f t="shared" si="21"/>
        <v>-1.8862022192287591E-3</v>
      </c>
      <c r="G75" s="150"/>
      <c r="H75" s="131">
        <f>SUM(H76)</f>
        <v>-360000</v>
      </c>
      <c r="I75" s="132">
        <f t="shared" si="22"/>
        <v>-2.3079236080948012E-2</v>
      </c>
      <c r="J75" s="41"/>
      <c r="K75" s="185"/>
      <c r="N75" s="60"/>
    </row>
    <row r="76" spans="1:35" ht="16.5" customHeight="1" x14ac:dyDescent="0.55000000000000004">
      <c r="A76" s="8" t="s">
        <v>52</v>
      </c>
      <c r="B76" s="17">
        <v>-28961.842424242426</v>
      </c>
      <c r="C76" s="9">
        <f t="shared" si="26"/>
        <v>-1.6003280300334608E-3</v>
      </c>
      <c r="D76" s="42"/>
      <c r="E76" s="17">
        <v>-36363.636363636368</v>
      </c>
      <c r="F76" s="9">
        <f t="shared" si="21"/>
        <v>-1.8862022192287591E-3</v>
      </c>
      <c r="G76" s="42"/>
      <c r="H76" s="23">
        <v>-360000</v>
      </c>
      <c r="I76" s="9">
        <f t="shared" si="22"/>
        <v>-2.3079236080948012E-2</v>
      </c>
      <c r="J76" s="61" t="s">
        <v>112</v>
      </c>
      <c r="K76" s="185"/>
      <c r="L76" s="34" t="str">
        <f>+L5</f>
        <v>NOT FINANCIAL</v>
      </c>
      <c r="M76" s="70" t="s">
        <v>190</v>
      </c>
      <c r="N76" s="60"/>
    </row>
    <row r="77" spans="1:35" s="13" customFormat="1" ht="10.5" customHeight="1" x14ac:dyDescent="0.55000000000000004">
      <c r="A77" s="11"/>
      <c r="B77" s="18" t="s">
        <v>119</v>
      </c>
      <c r="C77" s="12"/>
      <c r="D77" s="42"/>
      <c r="E77" s="18" t="s">
        <v>119</v>
      </c>
      <c r="F77" s="12"/>
      <c r="G77" s="42"/>
      <c r="H77" s="18"/>
      <c r="I77" s="12"/>
      <c r="J77" s="42"/>
      <c r="K77" s="185" t="s">
        <v>119</v>
      </c>
      <c r="L77" s="54"/>
      <c r="M77" s="54"/>
      <c r="N77" s="166"/>
      <c r="O77" s="54"/>
      <c r="P77" s="55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1:35" s="7" customFormat="1" ht="16.5" customHeight="1" x14ac:dyDescent="0.55000000000000004">
      <c r="A78" s="135" t="s">
        <v>53</v>
      </c>
      <c r="B78" s="136">
        <f>+B75+B73+B71+B56</f>
        <v>-4929458.5704780873</v>
      </c>
      <c r="C78" s="137">
        <f t="shared" si="26"/>
        <v>-0.27238428438590984</v>
      </c>
      <c r="D78" s="138"/>
      <c r="E78" s="136">
        <f>+E75+E73+E71+E56</f>
        <v>-4754988.6367114363</v>
      </c>
      <c r="F78" s="137">
        <f t="shared" si="21"/>
        <v>-0.24664392827174766</v>
      </c>
      <c r="G78" s="138"/>
      <c r="H78" s="136">
        <f>+H75+H73+H71+H56</f>
        <v>-4424545.3600540198</v>
      </c>
      <c r="I78" s="137">
        <f t="shared" si="22"/>
        <v>-0.28365313032097178</v>
      </c>
      <c r="J78" s="46"/>
      <c r="K78" s="185"/>
      <c r="L78" s="60"/>
      <c r="M78" s="60"/>
      <c r="N78" s="60"/>
      <c r="O78" s="60"/>
      <c r="P78" s="119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</row>
    <row r="79" spans="1:35" s="13" customFormat="1" ht="10.5" customHeight="1" x14ac:dyDescent="0.55000000000000004">
      <c r="A79" s="11"/>
      <c r="B79" s="18" t="s">
        <v>119</v>
      </c>
      <c r="C79" s="12"/>
      <c r="D79" s="42"/>
      <c r="E79" s="18" t="s">
        <v>119</v>
      </c>
      <c r="F79" s="12"/>
      <c r="G79" s="42"/>
      <c r="H79" s="18"/>
      <c r="I79" s="12"/>
      <c r="J79" s="42"/>
      <c r="K79" s="185" t="s">
        <v>119</v>
      </c>
      <c r="L79" s="54"/>
      <c r="M79" s="54"/>
      <c r="N79" s="166"/>
      <c r="O79" s="54"/>
      <c r="P79" s="55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1:35" ht="16.5" customHeight="1" x14ac:dyDescent="0.55000000000000004">
      <c r="A80" s="130" t="s">
        <v>106</v>
      </c>
      <c r="B80" s="145">
        <f>SUM(B81:B94)</f>
        <v>-847953.76969696989</v>
      </c>
      <c r="C80" s="132">
        <f t="shared" si="26"/>
        <v>-4.6854898453653704E-2</v>
      </c>
      <c r="D80" s="133"/>
      <c r="E80" s="145">
        <f>SUM(E81:E94)</f>
        <v>-836686.97575757594</v>
      </c>
      <c r="F80" s="132">
        <f t="shared" si="21"/>
        <v>-4.3399422838027807E-2</v>
      </c>
      <c r="G80" s="133"/>
      <c r="H80" s="145">
        <f>SUM(H81:H94)</f>
        <v>-964288.27878787869</v>
      </c>
      <c r="I80" s="132">
        <f t="shared" si="22"/>
        <v>-6.1819546767323513E-2</v>
      </c>
      <c r="J80" s="46"/>
      <c r="K80" s="185"/>
      <c r="N80" s="60"/>
    </row>
    <row r="81" spans="1:16" ht="16.5" customHeight="1" x14ac:dyDescent="0.55000000000000004">
      <c r="A81" s="8" t="s">
        <v>55</v>
      </c>
      <c r="B81" s="17">
        <v>-118715.53939393941</v>
      </c>
      <c r="C81" s="9">
        <f t="shared" si="26"/>
        <v>-6.5597969393562262E-3</v>
      </c>
      <c r="D81" s="46"/>
      <c r="E81" s="17">
        <v>-106044.18181818182</v>
      </c>
      <c r="F81" s="9">
        <f t="shared" si="21"/>
        <v>-5.5005712047481951E-3</v>
      </c>
      <c r="G81" s="46"/>
      <c r="H81" s="27">
        <f>IF($N$5="No",+K81,N81)</f>
        <v>-120345.4787878788</v>
      </c>
      <c r="I81" s="9">
        <f t="shared" si="22"/>
        <v>-7.7152269895004889E-3</v>
      </c>
      <c r="J81" s="61" t="s">
        <v>112</v>
      </c>
      <c r="K81" s="185">
        <v>-120345.4787878788</v>
      </c>
      <c r="L81" s="34" t="str">
        <f>+L3</f>
        <v>IMPORTANT</v>
      </c>
      <c r="M81" s="116">
        <v>-75000</v>
      </c>
      <c r="N81" s="169">
        <v>-75000</v>
      </c>
      <c r="P81" s="35">
        <v>-120345.4787878788</v>
      </c>
    </row>
    <row r="82" spans="1:16" ht="16.5" customHeight="1" x14ac:dyDescent="0.55000000000000004">
      <c r="A82" s="8" t="s">
        <v>56</v>
      </c>
      <c r="B82" s="17">
        <v>-81657.230303030301</v>
      </c>
      <c r="C82" s="9">
        <f t="shared" si="26"/>
        <v>-4.5120870625086048E-3</v>
      </c>
      <c r="D82" s="46"/>
      <c r="E82" s="17">
        <v>-31019.193939393939</v>
      </c>
      <c r="F82" s="9">
        <f t="shared" si="21"/>
        <v>-1.6089829922972332E-3</v>
      </c>
      <c r="G82" s="46"/>
      <c r="H82" s="27">
        <v>-90000</v>
      </c>
      <c r="I82" s="9">
        <f t="shared" si="22"/>
        <v>-5.7698090202370029E-3</v>
      </c>
      <c r="J82" s="61" t="s">
        <v>112</v>
      </c>
      <c r="K82" s="185"/>
      <c r="L82" s="34" t="str">
        <f>+L2</f>
        <v>VITAL</v>
      </c>
      <c r="M82" s="32" t="s">
        <v>191</v>
      </c>
      <c r="N82" s="60"/>
    </row>
    <row r="83" spans="1:16" ht="16.5" customHeight="1" x14ac:dyDescent="0.55000000000000004">
      <c r="A83" s="8" t="s">
        <v>57</v>
      </c>
      <c r="B83" s="17">
        <v>-26209.260606060609</v>
      </c>
      <c r="C83" s="9">
        <f t="shared" si="26"/>
        <v>-1.448230184389856E-3</v>
      </c>
      <c r="D83" s="46"/>
      <c r="E83" s="17">
        <v>-26209.260606060609</v>
      </c>
      <c r="F83" s="9">
        <f t="shared" si="21"/>
        <v>-1.3594890517861513E-3</v>
      </c>
      <c r="G83" s="46"/>
      <c r="H83" s="27">
        <v>-26240</v>
      </c>
      <c r="I83" s="9">
        <f t="shared" si="22"/>
        <v>-1.682219874344655E-3</v>
      </c>
      <c r="J83" s="61" t="s">
        <v>112</v>
      </c>
      <c r="K83" s="185"/>
      <c r="L83" s="34" t="str">
        <f>+L2</f>
        <v>VITAL</v>
      </c>
      <c r="N83" s="60"/>
    </row>
    <row r="84" spans="1:16" ht="16.5" customHeight="1" x14ac:dyDescent="0.55000000000000004">
      <c r="A84" s="8" t="s">
        <v>105</v>
      </c>
      <c r="B84" s="17">
        <v>-28860.193939393939</v>
      </c>
      <c r="C84" s="9">
        <f t="shared" si="26"/>
        <v>-1.5947112976056473E-3</v>
      </c>
      <c r="D84" s="64"/>
      <c r="E84" s="17">
        <v>-35942.939393939392</v>
      </c>
      <c r="F84" s="9">
        <f t="shared" si="21"/>
        <v>-1.8643804313874647E-3</v>
      </c>
      <c r="G84" s="64"/>
      <c r="H84" s="27">
        <v>-32397.57575757576</v>
      </c>
      <c r="I84" s="9">
        <f t="shared" si="22"/>
        <v>-2.0769758315541363E-3</v>
      </c>
      <c r="J84" s="61" t="s">
        <v>112</v>
      </c>
      <c r="K84" s="185"/>
      <c r="L84" s="34" t="str">
        <f>+L2</f>
        <v>VITAL</v>
      </c>
      <c r="N84" s="60"/>
    </row>
    <row r="85" spans="1:16" ht="16.5" customHeight="1" x14ac:dyDescent="0.55000000000000004">
      <c r="A85" s="8" t="s">
        <v>58</v>
      </c>
      <c r="B85" s="17">
        <v>-239886.25454545458</v>
      </c>
      <c r="C85" s="9">
        <f t="shared" si="26"/>
        <v>-1.3255258127069052E-2</v>
      </c>
      <c r="D85" s="46"/>
      <c r="E85" s="17">
        <v>-272177.82424242422</v>
      </c>
      <c r="F85" s="9">
        <f t="shared" si="21"/>
        <v>-1.411801644305018E-2</v>
      </c>
      <c r="G85" s="46"/>
      <c r="H85" s="27">
        <v>-348508.99393939396</v>
      </c>
      <c r="I85" s="9">
        <f t="shared" si="22"/>
        <v>-2.2342559298502648E-2</v>
      </c>
      <c r="J85" s="61" t="s">
        <v>112</v>
      </c>
      <c r="K85" s="185"/>
      <c r="L85" s="34" t="str">
        <f>+L2</f>
        <v>VITAL</v>
      </c>
      <c r="N85" s="60"/>
    </row>
    <row r="86" spans="1:16" ht="16.5" customHeight="1" x14ac:dyDescent="0.55000000000000004">
      <c r="A86" s="8" t="s">
        <v>59</v>
      </c>
      <c r="B86" s="17">
        <v>-39819.896969696973</v>
      </c>
      <c r="C86" s="9">
        <f t="shared" si="26"/>
        <v>-2.2003053652522395E-3</v>
      </c>
      <c r="D86" s="46"/>
      <c r="E86" s="17">
        <v>-38836.775757575757</v>
      </c>
      <c r="F86" s="9">
        <f t="shared" si="21"/>
        <v>-2.014485347094799E-3</v>
      </c>
      <c r="G86" s="46"/>
      <c r="H86" s="27">
        <v>-64116.412121212124</v>
      </c>
      <c r="I86" s="9">
        <f t="shared" si="22"/>
        <v>-4.110438366691142E-3</v>
      </c>
      <c r="J86" s="61" t="s">
        <v>112</v>
      </c>
      <c r="K86" s="185"/>
      <c r="L86" s="34" t="str">
        <f>+L2</f>
        <v>VITAL</v>
      </c>
      <c r="N86" s="60"/>
    </row>
    <row r="87" spans="1:16" ht="16.5" customHeight="1" x14ac:dyDescent="0.55000000000000004">
      <c r="A87" s="8" t="s">
        <v>60</v>
      </c>
      <c r="B87" s="17">
        <v>-103358.16969696971</v>
      </c>
      <c r="C87" s="9">
        <f t="shared" si="26"/>
        <v>-5.7112035096414399E-3</v>
      </c>
      <c r="D87" s="46"/>
      <c r="E87" s="17">
        <v>-116994.09090909091</v>
      </c>
      <c r="F87" s="9">
        <f t="shared" si="21"/>
        <v>-6.0685491325079069E-3</v>
      </c>
      <c r="G87" s="46"/>
      <c r="H87" s="27">
        <v>-110215.15151515152</v>
      </c>
      <c r="I87" s="9">
        <f t="shared" si="22"/>
        <v>-7.0657819486545466E-3</v>
      </c>
      <c r="J87" s="61" t="s">
        <v>112</v>
      </c>
      <c r="K87" s="185"/>
      <c r="L87" s="34" t="str">
        <f>+L2</f>
        <v>VITAL</v>
      </c>
      <c r="N87" s="60"/>
    </row>
    <row r="88" spans="1:16" ht="16.5" customHeight="1" x14ac:dyDescent="0.55000000000000004">
      <c r="A88" s="8" t="s">
        <v>61</v>
      </c>
      <c r="B88" s="17">
        <v>-20581.709090909091</v>
      </c>
      <c r="C88" s="9">
        <f t="shared" si="26"/>
        <v>-1.1372717757971811E-3</v>
      </c>
      <c r="D88" s="46"/>
      <c r="E88" s="17">
        <v>-11212</v>
      </c>
      <c r="F88" s="9">
        <f t="shared" si="21"/>
        <v>-5.8157273025480328E-4</v>
      </c>
      <c r="G88" s="46"/>
      <c r="H88" s="27">
        <v>-10319.236363636364</v>
      </c>
      <c r="I88" s="9">
        <f t="shared" si="22"/>
        <v>-6.6155581169851979E-4</v>
      </c>
      <c r="J88" s="61" t="s">
        <v>112</v>
      </c>
      <c r="K88" s="185"/>
      <c r="L88" s="34" t="str">
        <f>+L2</f>
        <v>VITAL</v>
      </c>
      <c r="N88" s="60"/>
    </row>
    <row r="89" spans="1:16" ht="16.5" customHeight="1" x14ac:dyDescent="0.55000000000000004">
      <c r="A89" s="8" t="s">
        <v>62</v>
      </c>
      <c r="B89" s="17">
        <v>-28195.939393939396</v>
      </c>
      <c r="C89" s="9">
        <f t="shared" si="26"/>
        <v>-1.5580069625500074E-3</v>
      </c>
      <c r="D89" s="42"/>
      <c r="E89" s="17">
        <v>-18089.987878787881</v>
      </c>
      <c r="F89" s="9">
        <f t="shared" si="21"/>
        <v>-9.3833782027675388E-4</v>
      </c>
      <c r="G89" s="42"/>
      <c r="H89" s="27">
        <v>-21999.975757575758</v>
      </c>
      <c r="I89" s="9">
        <f t="shared" si="22"/>
        <v>-1.4103962063450666E-3</v>
      </c>
      <c r="J89" s="61" t="s">
        <v>112</v>
      </c>
      <c r="K89" s="185"/>
      <c r="L89" s="34" t="str">
        <f>+L4</f>
        <v>EMPOWERING</v>
      </c>
      <c r="M89" s="70" t="s">
        <v>193</v>
      </c>
      <c r="N89" s="60"/>
    </row>
    <row r="90" spans="1:16" ht="16.5" customHeight="1" x14ac:dyDescent="0.55000000000000004">
      <c r="A90" s="8" t="s">
        <v>63</v>
      </c>
      <c r="B90" s="17">
        <v>-61720.296969696974</v>
      </c>
      <c r="C90" s="9">
        <f t="shared" si="26"/>
        <v>-3.4104432934804561E-3</v>
      </c>
      <c r="D90" s="46"/>
      <c r="E90" s="17">
        <v>-69710.145454545462</v>
      </c>
      <c r="F90" s="9">
        <f t="shared" si="21"/>
        <v>-3.6159043541258888E-3</v>
      </c>
      <c r="G90" s="46"/>
      <c r="H90" s="27">
        <v>-97270.303030303039</v>
      </c>
      <c r="I90" s="9">
        <f t="shared" si="22"/>
        <v>-6.2359007980603235E-3</v>
      </c>
      <c r="J90" s="61" t="s">
        <v>112</v>
      </c>
      <c r="K90" s="185"/>
      <c r="L90" s="34" t="str">
        <f>+L2</f>
        <v>VITAL</v>
      </c>
      <c r="N90" s="60"/>
    </row>
    <row r="91" spans="1:16" ht="16.5" customHeight="1" x14ac:dyDescent="0.55000000000000004">
      <c r="A91" s="8" t="s">
        <v>94</v>
      </c>
      <c r="B91" s="17">
        <v>-13656.400000000001</v>
      </c>
      <c r="C91" s="9">
        <f t="shared" si="26"/>
        <v>-7.5460391604974437E-4</v>
      </c>
      <c r="D91" s="46"/>
      <c r="E91" s="17">
        <v>-13601.024242424242</v>
      </c>
      <c r="F91" s="9">
        <f t="shared" si="21"/>
        <v>-7.0549275802073077E-4</v>
      </c>
      <c r="G91" s="46"/>
      <c r="H91" s="27">
        <v>-13454.545454545456</v>
      </c>
      <c r="I91" s="9">
        <f t="shared" si="22"/>
        <v>-8.6255730807583482E-4</v>
      </c>
      <c r="J91" s="61" t="s">
        <v>112</v>
      </c>
      <c r="K91" s="185"/>
      <c r="L91" s="34" t="str">
        <f>+L4</f>
        <v>EMPOWERING</v>
      </c>
      <c r="N91" s="60"/>
    </row>
    <row r="92" spans="1:16" ht="16.5" customHeight="1" x14ac:dyDescent="0.55000000000000004">
      <c r="A92" s="8" t="s">
        <v>54</v>
      </c>
      <c r="B92" s="17">
        <v>-24546.909090909092</v>
      </c>
      <c r="C92" s="9">
        <f t="shared" si="26"/>
        <v>-1.3563745736004415E-3</v>
      </c>
      <c r="D92" s="46"/>
      <c r="E92" s="17">
        <v>-26779.339393939397</v>
      </c>
      <c r="F92" s="9">
        <f t="shared" si="21"/>
        <v>-1.3890593583440369E-3</v>
      </c>
      <c r="G92" s="46"/>
      <c r="H92" s="27">
        <v>-23029.090909090912</v>
      </c>
      <c r="I92" s="9">
        <f t="shared" si="22"/>
        <v>-1.476371738390341E-3</v>
      </c>
      <c r="J92" s="61" t="s">
        <v>112</v>
      </c>
      <c r="K92" s="185"/>
      <c r="L92" s="34" t="str">
        <f>+L2</f>
        <v>VITAL</v>
      </c>
      <c r="N92" s="60"/>
    </row>
    <row r="93" spans="1:16" ht="16.5" customHeight="1" x14ac:dyDescent="0.55000000000000004">
      <c r="A93" s="8" t="s">
        <v>93</v>
      </c>
      <c r="B93" s="17">
        <v>-9060.69696969697</v>
      </c>
      <c r="C93" s="9">
        <f t="shared" si="26"/>
        <v>-5.0066177143854782E-4</v>
      </c>
      <c r="D93" s="46"/>
      <c r="E93" s="17">
        <v>-10075.878787878788</v>
      </c>
      <c r="F93" s="9">
        <f t="shared" si="21"/>
        <v>-5.2264148558536609E-4</v>
      </c>
      <c r="G93" s="46"/>
      <c r="H93" s="27">
        <v>-6391.515151515152</v>
      </c>
      <c r="I93" s="9">
        <f t="shared" si="22"/>
        <v>-4.0975357526881772E-4</v>
      </c>
      <c r="J93" s="61" t="s">
        <v>112</v>
      </c>
      <c r="K93" s="185"/>
      <c r="L93" s="34" t="str">
        <f>+L3</f>
        <v>IMPORTANT</v>
      </c>
      <c r="N93" s="60"/>
    </row>
    <row r="94" spans="1:16" ht="16.5" customHeight="1" x14ac:dyDescent="0.55000000000000004">
      <c r="A94" s="8" t="s">
        <v>64</v>
      </c>
      <c r="B94" s="17">
        <v>-51685.272727272728</v>
      </c>
      <c r="C94" s="9">
        <f t="shared" si="26"/>
        <v>-2.8559436749142561E-3</v>
      </c>
      <c r="D94" s="46"/>
      <c r="E94" s="17">
        <v>-59994.333333333336</v>
      </c>
      <c r="F94" s="9">
        <f t="shared" si="21"/>
        <v>-3.1119397285482892E-3</v>
      </c>
      <c r="G94" s="46"/>
      <c r="H94" s="27">
        <f>IF($N$5="No",+K94,N94)</f>
        <v>0</v>
      </c>
      <c r="I94" s="9">
        <f t="shared" si="22"/>
        <v>0</v>
      </c>
      <c r="J94" s="61" t="s">
        <v>112</v>
      </c>
      <c r="K94" s="185"/>
      <c r="L94" s="34" t="str">
        <f>+L4</f>
        <v>EMPOWERING</v>
      </c>
      <c r="M94" s="116">
        <v>-15000</v>
      </c>
      <c r="N94" s="169">
        <v>-15000</v>
      </c>
      <c r="P94" s="35">
        <v>-47578.181818181823</v>
      </c>
    </row>
    <row r="95" spans="1:16" ht="16.5" customHeight="1" x14ac:dyDescent="0.55000000000000004">
      <c r="A95" s="130" t="s">
        <v>65</v>
      </c>
      <c r="B95" s="145">
        <f>SUM(B96:B97)</f>
        <v>-1042752.5818181818</v>
      </c>
      <c r="C95" s="132">
        <f t="shared" si="26"/>
        <v>-5.761878545670758E-2</v>
      </c>
      <c r="D95" s="133"/>
      <c r="E95" s="145">
        <f>SUM(E96:E97)</f>
        <v>-1082713.593939394</v>
      </c>
      <c r="F95" s="132">
        <f t="shared" si="21"/>
        <v>-5.6160961551134835E-2</v>
      </c>
      <c r="G95" s="133"/>
      <c r="H95" s="145">
        <f>SUM(H96:H97)</f>
        <v>-1054066.6666666667</v>
      </c>
      <c r="I95" s="132">
        <f t="shared" si="22"/>
        <v>-6.7575148458494258E-2</v>
      </c>
      <c r="J95" s="61"/>
      <c r="K95" s="185"/>
      <c r="M95" s="32" t="s">
        <v>191</v>
      </c>
      <c r="N95" s="170"/>
    </row>
    <row r="96" spans="1:16" ht="16.5" customHeight="1" x14ac:dyDescent="0.55000000000000004">
      <c r="A96" s="8" t="s">
        <v>88</v>
      </c>
      <c r="B96" s="17">
        <v>-482725.15151515155</v>
      </c>
      <c r="C96" s="9">
        <f t="shared" si="26"/>
        <v>-2.6673668734735326E-2</v>
      </c>
      <c r="D96" s="46"/>
      <c r="E96" s="17">
        <v>-515625.97575757577</v>
      </c>
      <c r="F96" s="9">
        <f t="shared" si="21"/>
        <v>-2.6745808643563174E-2</v>
      </c>
      <c r="G96" s="46"/>
      <c r="H96" s="27">
        <v>-493939.39393939398</v>
      </c>
      <c r="I96" s="9">
        <f t="shared" si="22"/>
        <v>-3.166595522891015E-2</v>
      </c>
      <c r="J96" s="61" t="s">
        <v>112</v>
      </c>
      <c r="K96" s="185"/>
      <c r="L96" s="34" t="str">
        <f>+L2</f>
        <v>VITAL</v>
      </c>
      <c r="M96" s="34" t="s">
        <v>192</v>
      </c>
      <c r="N96" s="170"/>
    </row>
    <row r="97" spans="1:35" ht="16.5" customHeight="1" x14ac:dyDescent="0.55000000000000004">
      <c r="A97" s="8" t="s">
        <v>66</v>
      </c>
      <c r="B97" s="17">
        <v>-560027.4303030303</v>
      </c>
      <c r="C97" s="9">
        <f t="shared" si="26"/>
        <v>-3.0945116721972254E-2</v>
      </c>
      <c r="D97" s="46"/>
      <c r="E97" s="17">
        <v>-567087.61818181816</v>
      </c>
      <c r="F97" s="9">
        <f t="shared" si="21"/>
        <v>-2.9415152907571653E-2</v>
      </c>
      <c r="G97" s="46"/>
      <c r="H97" s="27">
        <f>IF($N$5="No",+K97,N97)</f>
        <v>-560127.27272727271</v>
      </c>
      <c r="I97" s="9">
        <f t="shared" si="22"/>
        <v>-3.5909193229584108E-2</v>
      </c>
      <c r="J97" s="61" t="s">
        <v>112</v>
      </c>
      <c r="K97" s="185">
        <v>-560127.27272727271</v>
      </c>
      <c r="L97" s="34" t="str">
        <f>+L4</f>
        <v>EMPOWERING</v>
      </c>
      <c r="M97" s="116">
        <v>-250000</v>
      </c>
      <c r="N97" s="169">
        <v>-250000</v>
      </c>
      <c r="P97" s="35">
        <v>-560127.27272727271</v>
      </c>
    </row>
    <row r="98" spans="1:35" ht="16.5" customHeight="1" x14ac:dyDescent="0.55000000000000004">
      <c r="A98" s="130" t="s">
        <v>67</v>
      </c>
      <c r="B98" s="134">
        <f>SUM(B99:B104)</f>
        <v>-98615.478787878776</v>
      </c>
      <c r="C98" s="132">
        <f t="shared" si="26"/>
        <v>-5.4491393395370534E-3</v>
      </c>
      <c r="D98" s="133"/>
      <c r="E98" s="134">
        <f>SUM(E99:E104)</f>
        <v>-184539.8666666667</v>
      </c>
      <c r="F98" s="132">
        <f t="shared" si="21"/>
        <v>-9.5721864161782654E-3</v>
      </c>
      <c r="G98" s="133"/>
      <c r="H98" s="134">
        <f>SUM(H99:H104)</f>
        <v>-229648.25454545455</v>
      </c>
      <c r="I98" s="132">
        <f t="shared" si="22"/>
        <v>-1.4722517450644965E-2</v>
      </c>
      <c r="J98" s="61"/>
      <c r="K98" s="185"/>
      <c r="N98" s="170"/>
    </row>
    <row r="99" spans="1:35" ht="16.5" customHeight="1" x14ac:dyDescent="0.55000000000000004">
      <c r="A99" s="8" t="s">
        <v>68</v>
      </c>
      <c r="B99" s="17">
        <v>-37846.248484848482</v>
      </c>
      <c r="C99" s="9">
        <f t="shared" si="26"/>
        <v>-2.0912485951245104E-3</v>
      </c>
      <c r="D99" s="46"/>
      <c r="E99" s="17">
        <v>-41964.084848484854</v>
      </c>
      <c r="F99" s="9">
        <f t="shared" si="21"/>
        <v>-2.1767006241506918E-3</v>
      </c>
      <c r="G99" s="46"/>
      <c r="H99" s="27">
        <f t="shared" ref="H99:H104" si="27">IF($N$5="No",+K99,N99)</f>
        <v>-53412.218181818185</v>
      </c>
      <c r="I99" s="9">
        <f t="shared" si="22"/>
        <v>-3.4242033139591267E-3</v>
      </c>
      <c r="J99" s="61" t="s">
        <v>112</v>
      </c>
      <c r="K99" s="185">
        <v>-53412.218181818185</v>
      </c>
      <c r="L99" s="34" t="str">
        <f>+L5</f>
        <v>NOT FINANCIAL</v>
      </c>
      <c r="M99" s="116">
        <f t="shared" ref="M99:M104" si="28">+H99/12*10</f>
        <v>-44510.181818181816</v>
      </c>
      <c r="N99" s="169">
        <v>-44510.181818181816</v>
      </c>
      <c r="P99" s="35">
        <v>-53412.218181818185</v>
      </c>
    </row>
    <row r="100" spans="1:35" ht="16.5" customHeight="1" x14ac:dyDescent="0.55000000000000004">
      <c r="A100" s="8" t="s">
        <v>69</v>
      </c>
      <c r="B100" s="17">
        <v>-15967.387878787878</v>
      </c>
      <c r="C100" s="9">
        <f t="shared" si="26"/>
        <v>-8.8230085691826197E-4</v>
      </c>
      <c r="D100" s="46"/>
      <c r="E100" s="17">
        <v>-5488.6484848484852</v>
      </c>
      <c r="F100" s="9">
        <f t="shared" si="21"/>
        <v>-2.8469927619891391E-4</v>
      </c>
      <c r="G100" s="46"/>
      <c r="H100" s="27">
        <f t="shared" si="27"/>
        <v>-5490.909090909091</v>
      </c>
      <c r="I100" s="9">
        <f t="shared" si="22"/>
        <v>-3.520166311336515E-4</v>
      </c>
      <c r="J100" s="61" t="s">
        <v>112</v>
      </c>
      <c r="K100" s="185">
        <v>-5490.909090909091</v>
      </c>
      <c r="L100" s="34" t="str">
        <f>+L5</f>
        <v>NOT FINANCIAL</v>
      </c>
      <c r="M100" s="116">
        <f t="shared" si="28"/>
        <v>-4575.757575757576</v>
      </c>
      <c r="N100" s="169">
        <v>-4575.757575757576</v>
      </c>
      <c r="P100" s="35">
        <v>-5490.909090909091</v>
      </c>
    </row>
    <row r="101" spans="1:35" ht="16.5" customHeight="1" x14ac:dyDescent="0.55000000000000004">
      <c r="A101" s="8" t="s">
        <v>34</v>
      </c>
      <c r="B101" s="17">
        <v>-5505.3090909090915</v>
      </c>
      <c r="C101" s="9">
        <f t="shared" si="26"/>
        <v>-3.0420372858617632E-4</v>
      </c>
      <c r="D101" s="62"/>
      <c r="E101" s="17">
        <v>-3262.6848484848488</v>
      </c>
      <c r="F101" s="9">
        <f t="shared" si="21"/>
        <v>-1.6923729355104464E-4</v>
      </c>
      <c r="G101" s="62"/>
      <c r="H101" s="27">
        <f t="shared" si="27"/>
        <v>-3265.4545454545455</v>
      </c>
      <c r="I101" s="9">
        <f>+H101/$H$10</f>
        <v>-2.0934498990597287E-4</v>
      </c>
      <c r="J101" s="61" t="s">
        <v>112</v>
      </c>
      <c r="K101" s="185">
        <v>-3265.4545454545455</v>
      </c>
      <c r="L101" s="34" t="str">
        <f>+L5</f>
        <v>NOT FINANCIAL</v>
      </c>
      <c r="M101" s="116">
        <f t="shared" si="28"/>
        <v>-2721.212121212121</v>
      </c>
      <c r="N101" s="169">
        <v>-2721.212121212121</v>
      </c>
      <c r="P101" s="35">
        <v>-3265.4545454545455</v>
      </c>
    </row>
    <row r="102" spans="1:35" ht="16.5" customHeight="1" x14ac:dyDescent="0.55000000000000004">
      <c r="A102" s="8" t="s">
        <v>70</v>
      </c>
      <c r="B102" s="17">
        <v>-6687.2727272727279</v>
      </c>
      <c r="C102" s="9">
        <f t="shared" si="26"/>
        <v>-3.6951481998862468E-4</v>
      </c>
      <c r="D102" s="41"/>
      <c r="E102" s="17">
        <v>-7596.969696969697</v>
      </c>
      <c r="F102" s="9">
        <f t="shared" si="21"/>
        <v>-3.9405908030054154E-4</v>
      </c>
      <c r="G102" s="41"/>
      <c r="H102" s="27">
        <f t="shared" si="27"/>
        <v>-7600</v>
      </c>
      <c r="I102" s="9">
        <f t="shared" si="22"/>
        <v>-4.8722831726445801E-4</v>
      </c>
      <c r="J102" s="61" t="s">
        <v>112</v>
      </c>
      <c r="K102" s="185">
        <v>-7600</v>
      </c>
      <c r="L102" s="34" t="str">
        <f>+L5</f>
        <v>NOT FINANCIAL</v>
      </c>
      <c r="M102" s="116">
        <f t="shared" si="28"/>
        <v>-6333.3333333333339</v>
      </c>
      <c r="N102" s="169">
        <v>-6333.3333333333339</v>
      </c>
      <c r="P102" s="35">
        <v>-7600</v>
      </c>
    </row>
    <row r="103" spans="1:35" ht="16.5" customHeight="1" x14ac:dyDescent="0.55000000000000004">
      <c r="A103" s="8" t="s">
        <v>71</v>
      </c>
      <c r="B103" s="17">
        <v>-27372.896969696969</v>
      </c>
      <c r="C103" s="9">
        <f t="shared" si="26"/>
        <v>-1.5125285761225149E-3</v>
      </c>
      <c r="D103" s="41"/>
      <c r="E103" s="17">
        <v>-120991.11515151516</v>
      </c>
      <c r="F103" s="9">
        <f t="shared" si="21"/>
        <v>-6.2758770224081309E-3</v>
      </c>
      <c r="G103" s="41"/>
      <c r="H103" s="27">
        <f t="shared" si="27"/>
        <v>-154643.30909090908</v>
      </c>
      <c r="I103" s="9">
        <f t="shared" si="22"/>
        <v>-9.9140262190225131E-3</v>
      </c>
      <c r="J103" s="61" t="s">
        <v>112</v>
      </c>
      <c r="K103" s="185">
        <v>-154643.30909090908</v>
      </c>
      <c r="L103" s="34" t="str">
        <f>+L5</f>
        <v>NOT FINANCIAL</v>
      </c>
      <c r="M103" s="116">
        <f t="shared" si="28"/>
        <v>-128869.42424242423</v>
      </c>
      <c r="N103" s="169">
        <v>-128869.42424242423</v>
      </c>
      <c r="P103" s="35">
        <v>-154643.30909090908</v>
      </c>
    </row>
    <row r="104" spans="1:35" ht="16.5" customHeight="1" x14ac:dyDescent="0.55000000000000004">
      <c r="A104" s="8" t="s">
        <v>72</v>
      </c>
      <c r="B104" s="17">
        <v>-5236.3636363636369</v>
      </c>
      <c r="C104" s="9">
        <f t="shared" si="26"/>
        <v>-2.8934276279696551E-4</v>
      </c>
      <c r="D104" s="41"/>
      <c r="E104" s="17">
        <v>-5236.3636363636369</v>
      </c>
      <c r="F104" s="9">
        <f t="shared" si="21"/>
        <v>-2.7161311956894131E-4</v>
      </c>
      <c r="G104" s="41"/>
      <c r="H104" s="27">
        <f t="shared" si="27"/>
        <v>-5236.3636363636369</v>
      </c>
      <c r="I104" s="9">
        <f t="shared" si="22"/>
        <v>-3.3569797935924386E-4</v>
      </c>
      <c r="J104" s="61" t="s">
        <v>112</v>
      </c>
      <c r="K104" s="185">
        <v>-5236.3636363636369</v>
      </c>
      <c r="L104" s="34" t="str">
        <f>+L5</f>
        <v>NOT FINANCIAL</v>
      </c>
      <c r="M104" s="116">
        <f t="shared" si="28"/>
        <v>-4363.636363636364</v>
      </c>
      <c r="N104" s="169">
        <v>-4363.636363636364</v>
      </c>
      <c r="P104" s="35">
        <v>-5236.3636363636369</v>
      </c>
    </row>
    <row r="105" spans="1:35" s="13" customFormat="1" ht="10.5" customHeight="1" x14ac:dyDescent="0.55000000000000004">
      <c r="A105" s="11"/>
      <c r="B105" s="18" t="s">
        <v>119</v>
      </c>
      <c r="C105" s="12"/>
      <c r="D105" s="42"/>
      <c r="E105" s="18" t="s">
        <v>119</v>
      </c>
      <c r="F105" s="12"/>
      <c r="G105" s="42"/>
      <c r="H105" s="24"/>
      <c r="I105" s="12"/>
      <c r="J105" s="61"/>
      <c r="K105" s="185" t="s">
        <v>119</v>
      </c>
      <c r="L105" s="54"/>
      <c r="M105" s="54"/>
      <c r="N105" s="166"/>
      <c r="O105" s="54"/>
      <c r="P105" s="55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</row>
    <row r="106" spans="1:35" s="7" customFormat="1" ht="16.5" customHeight="1" x14ac:dyDescent="0.55000000000000004">
      <c r="A106" s="135" t="s">
        <v>73</v>
      </c>
      <c r="B106" s="136">
        <f>+B98+B95+B80</f>
        <v>-1989321.8303030306</v>
      </c>
      <c r="C106" s="137">
        <f t="shared" si="26"/>
        <v>-0.10992282324989834</v>
      </c>
      <c r="D106" s="138"/>
      <c r="E106" s="136">
        <f>+E98+E95+E80</f>
        <v>-2103940.4363636365</v>
      </c>
      <c r="F106" s="137">
        <f t="shared" si="21"/>
        <v>-0.1091325708053409</v>
      </c>
      <c r="G106" s="138"/>
      <c r="H106" s="136">
        <f>+H98+H95+H80</f>
        <v>-2248003.2000000002</v>
      </c>
      <c r="I106" s="137">
        <f t="shared" si="22"/>
        <v>-0.14411721267646277</v>
      </c>
      <c r="J106" s="61"/>
      <c r="K106" s="185"/>
      <c r="L106" s="60"/>
      <c r="M106" s="60"/>
      <c r="N106" s="60"/>
      <c r="O106" s="60"/>
      <c r="P106" s="119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</row>
    <row r="107" spans="1:35" s="13" customFormat="1" ht="10.5" customHeight="1" x14ac:dyDescent="0.55000000000000004">
      <c r="A107" s="11"/>
      <c r="B107" s="18"/>
      <c r="C107" s="12"/>
      <c r="D107" s="42"/>
      <c r="E107" s="18"/>
      <c r="F107" s="12"/>
      <c r="G107" s="42"/>
      <c r="H107" s="18"/>
      <c r="I107" s="12"/>
      <c r="J107" s="61"/>
      <c r="K107" s="185"/>
      <c r="L107" s="54"/>
      <c r="M107" s="54"/>
      <c r="N107" s="166"/>
      <c r="O107" s="54"/>
      <c r="P107" s="55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</row>
    <row r="108" spans="1:35" s="7" customFormat="1" ht="16.5" customHeight="1" x14ac:dyDescent="0.55000000000000004">
      <c r="A108" s="146" t="s">
        <v>99</v>
      </c>
      <c r="B108" s="147">
        <f>+B106+B78+B54</f>
        <v>-17091440.031514574</v>
      </c>
      <c r="C108" s="148">
        <f t="shared" si="26"/>
        <v>-0.94441196645603986</v>
      </c>
      <c r="D108" s="149"/>
      <c r="E108" s="147">
        <f>+E106+E78+E54</f>
        <v>-18175644.941096425</v>
      </c>
      <c r="F108" s="148">
        <f t="shared" si="21"/>
        <v>-0.94278090015477611</v>
      </c>
      <c r="G108" s="149"/>
      <c r="H108" s="147">
        <f>+H106+H78+H54</f>
        <v>-16269895.342299443</v>
      </c>
      <c r="I108" s="148">
        <f t="shared" si="22"/>
        <v>-1.0430465433812368</v>
      </c>
      <c r="J108" s="61"/>
      <c r="K108" s="185"/>
      <c r="L108" s="60"/>
      <c r="M108" s="60"/>
      <c r="N108" s="60"/>
      <c r="O108" s="60"/>
      <c r="P108" s="119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</row>
    <row r="109" spans="1:35" s="13" customFormat="1" ht="10.5" customHeight="1" x14ac:dyDescent="0.55000000000000004">
      <c r="A109" s="11"/>
      <c r="B109" s="18"/>
      <c r="C109" s="12"/>
      <c r="D109" s="42"/>
      <c r="E109" s="18"/>
      <c r="F109" s="12"/>
      <c r="G109" s="42"/>
      <c r="H109" s="18"/>
      <c r="I109" s="12"/>
      <c r="J109" s="61"/>
      <c r="K109" s="185"/>
      <c r="L109" s="54"/>
      <c r="M109" s="54"/>
      <c r="N109" s="166"/>
      <c r="O109" s="54"/>
      <c r="P109" s="55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</row>
    <row r="110" spans="1:35" s="6" customFormat="1" ht="16.5" customHeight="1" x14ac:dyDescent="0.55000000000000004">
      <c r="A110" s="152" t="s">
        <v>74</v>
      </c>
      <c r="B110" s="153">
        <f>+B11+B108</f>
        <v>1006001.1684854478</v>
      </c>
      <c r="C110" s="154">
        <f t="shared" si="26"/>
        <v>5.5588033543960157E-2</v>
      </c>
      <c r="D110" s="155"/>
      <c r="E110" s="153">
        <f>+E11+E108</f>
        <v>1103113.186176341</v>
      </c>
      <c r="F110" s="154">
        <f t="shared" si="21"/>
        <v>5.7219099845223845E-2</v>
      </c>
      <c r="G110" s="155"/>
      <c r="H110" s="153">
        <f>+H11+H108</f>
        <v>-671458.77631703392</v>
      </c>
      <c r="I110" s="154">
        <f t="shared" si="22"/>
        <v>-4.3046543381236917E-2</v>
      </c>
      <c r="J110" s="61"/>
      <c r="K110" s="185"/>
      <c r="L110" s="65"/>
      <c r="M110" s="65"/>
      <c r="N110" s="60"/>
      <c r="O110" s="65"/>
      <c r="P110" s="3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</row>
    <row r="111" spans="1:35" s="13" customFormat="1" ht="10.5" customHeight="1" x14ac:dyDescent="0.55000000000000004">
      <c r="A111" s="11"/>
      <c r="B111" s="18"/>
      <c r="C111" s="12"/>
      <c r="D111" s="42"/>
      <c r="E111" s="18"/>
      <c r="F111" s="12"/>
      <c r="G111" s="42"/>
      <c r="H111" s="18"/>
      <c r="I111" s="12"/>
      <c r="J111" s="61"/>
      <c r="K111" s="185"/>
      <c r="L111" s="54"/>
      <c r="M111" s="54"/>
      <c r="N111" s="166"/>
      <c r="O111" s="54"/>
      <c r="P111" s="55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</row>
    <row r="112" spans="1:35" ht="16.5" customHeight="1" x14ac:dyDescent="0.55000000000000004">
      <c r="A112" s="130" t="s">
        <v>79</v>
      </c>
      <c r="B112" s="131">
        <f>SUM(B113:B115)</f>
        <v>-38413.1696969697</v>
      </c>
      <c r="C112" s="132">
        <f t="shared" si="26"/>
        <v>-2.1225746376216797E-3</v>
      </c>
      <c r="D112" s="151"/>
      <c r="E112" s="131">
        <f>SUM(E113:E115)</f>
        <v>-46057.078787878789</v>
      </c>
      <c r="F112" s="132">
        <f t="shared" si="21"/>
        <v>-2.389006516074496E-3</v>
      </c>
      <c r="G112" s="151"/>
      <c r="H112" s="131">
        <f>SUM(H113:H115)</f>
        <v>-47243.636363636368</v>
      </c>
      <c r="I112" s="132">
        <f t="shared" si="22"/>
        <v>-3.0287417693300664E-3</v>
      </c>
      <c r="J112" s="61"/>
      <c r="K112" s="185"/>
      <c r="N112" s="60"/>
    </row>
    <row r="113" spans="1:35" ht="16.5" customHeight="1" x14ac:dyDescent="0.55000000000000004">
      <c r="A113" s="8" t="s">
        <v>80</v>
      </c>
      <c r="B113" s="17">
        <v>-20609.127272727274</v>
      </c>
      <c r="C113" s="9">
        <f t="shared" si="26"/>
        <v>-1.1387868066523817E-3</v>
      </c>
      <c r="D113" s="46"/>
      <c r="E113" s="17">
        <v>-22862.987878787881</v>
      </c>
      <c r="F113" s="9">
        <f t="shared" si="21"/>
        <v>-1.1859160080671728E-3</v>
      </c>
      <c r="G113" s="46"/>
      <c r="H113" s="26">
        <v>-25360</v>
      </c>
      <c r="I113" s="9">
        <f t="shared" si="22"/>
        <v>-1.6258039639245598E-3</v>
      </c>
      <c r="J113" s="61" t="s">
        <v>112</v>
      </c>
      <c r="K113" s="185"/>
      <c r="L113" s="34" t="str">
        <f>+L2</f>
        <v>VITAL</v>
      </c>
      <c r="N113" s="60"/>
    </row>
    <row r="114" spans="1:35" ht="16.5" customHeight="1" x14ac:dyDescent="0.55000000000000004">
      <c r="A114" s="8" t="s">
        <v>81</v>
      </c>
      <c r="B114" s="17">
        <v>-11794.957575757577</v>
      </c>
      <c r="C114" s="9">
        <f t="shared" si="26"/>
        <v>-6.517472522998203E-4</v>
      </c>
      <c r="D114" s="46"/>
      <c r="E114" s="17">
        <v>-15568.654545454545</v>
      </c>
      <c r="F114" s="9">
        <f t="shared" si="21"/>
        <v>-8.0755484573616235E-4</v>
      </c>
      <c r="G114" s="46"/>
      <c r="H114" s="26">
        <v>-15221.818181818182</v>
      </c>
      <c r="I114" s="9">
        <f t="shared" si="22"/>
        <v>-9.7585537610957954E-4</v>
      </c>
      <c r="J114" s="61" t="s">
        <v>112</v>
      </c>
      <c r="K114" s="185"/>
      <c r="L114" s="34" t="str">
        <f>+L2</f>
        <v>VITAL</v>
      </c>
      <c r="N114" s="60"/>
    </row>
    <row r="115" spans="1:35" ht="16.5" customHeight="1" x14ac:dyDescent="0.55000000000000004">
      <c r="A115" s="8" t="s">
        <v>82</v>
      </c>
      <c r="B115" s="17">
        <v>-6009.0848484848484</v>
      </c>
      <c r="C115" s="9">
        <f t="shared" si="26"/>
        <v>-3.3204057866947738E-4</v>
      </c>
      <c r="D115" s="46"/>
      <c r="E115" s="17">
        <v>-7625.4363636363632</v>
      </c>
      <c r="F115" s="9">
        <f t="shared" si="21"/>
        <v>-3.9553566227116112E-4</v>
      </c>
      <c r="G115" s="46"/>
      <c r="H115" s="26">
        <v>-6661.818181818182</v>
      </c>
      <c r="I115" s="9">
        <f t="shared" si="22"/>
        <v>-4.2708242929592684E-4</v>
      </c>
      <c r="J115" s="61" t="s">
        <v>112</v>
      </c>
      <c r="K115" s="185"/>
      <c r="L115" s="34" t="str">
        <f>+L2</f>
        <v>VITAL</v>
      </c>
      <c r="N115" s="60"/>
    </row>
    <row r="116" spans="1:35" ht="16.5" customHeight="1" x14ac:dyDescent="0.55000000000000004">
      <c r="A116" s="130" t="s">
        <v>75</v>
      </c>
      <c r="B116" s="131">
        <f>SUM(B117:B120)</f>
        <v>50941.951515151246</v>
      </c>
      <c r="C116" s="132">
        <f t="shared" si="26"/>
        <v>2.8148703980953498E-3</v>
      </c>
      <c r="D116" s="151"/>
      <c r="E116" s="131">
        <f>SUM(E117:E120)</f>
        <v>-56536.830303030016</v>
      </c>
      <c r="F116" s="132">
        <f t="shared" si="21"/>
        <v>-2.9325971066077113E-3</v>
      </c>
      <c r="G116" s="151"/>
      <c r="H116" s="131">
        <f>SUM(H117:H120)</f>
        <v>-63968.484848484855</v>
      </c>
      <c r="I116" s="132">
        <f t="shared" si="22"/>
        <v>-4.1009548987742438E-3</v>
      </c>
      <c r="J116" s="61"/>
      <c r="K116" s="185"/>
      <c r="N116" s="60"/>
    </row>
    <row r="117" spans="1:35" ht="16.5" customHeight="1" x14ac:dyDescent="0.55000000000000004">
      <c r="A117" s="8" t="s">
        <v>95</v>
      </c>
      <c r="B117" s="17">
        <v>94732.139393939404</v>
      </c>
      <c r="C117" s="9">
        <f t="shared" si="26"/>
        <v>5.2345598666146955E-3</v>
      </c>
      <c r="D117" s="46"/>
      <c r="E117" s="17">
        <v>-30730.806060606064</v>
      </c>
      <c r="F117" s="9">
        <f t="shared" si="21"/>
        <v>-1.5940241512306032E-3</v>
      </c>
      <c r="G117" s="46"/>
      <c r="H117" s="26">
        <v>-11847.272727272728</v>
      </c>
      <c r="I117" s="9">
        <f t="shared" si="22"/>
        <v>-7.595166783002891E-4</v>
      </c>
      <c r="J117" s="61" t="s">
        <v>112</v>
      </c>
      <c r="K117" s="185"/>
      <c r="L117" s="34" t="str">
        <f>+L2</f>
        <v>VITAL</v>
      </c>
      <c r="N117" s="60"/>
    </row>
    <row r="118" spans="1:35" ht="16.5" customHeight="1" x14ac:dyDescent="0.55000000000000004">
      <c r="A118" s="8" t="s">
        <v>96</v>
      </c>
      <c r="B118" s="17">
        <v>-35518.78787878788</v>
      </c>
      <c r="C118" s="9">
        <f t="shared" si="26"/>
        <v>-1.9626414301480277E-3</v>
      </c>
      <c r="D118" s="50"/>
      <c r="E118" s="17">
        <v>-35807.272727272728</v>
      </c>
      <c r="F118" s="9">
        <f t="shared" si="21"/>
        <v>-1.857343325274559E-3</v>
      </c>
      <c r="G118" s="50"/>
      <c r="H118" s="26">
        <v>-41212.121212121216</v>
      </c>
      <c r="I118" s="9">
        <f t="shared" si="22"/>
        <v>-2.6420674301421967E-3</v>
      </c>
      <c r="J118" s="61" t="s">
        <v>112</v>
      </c>
      <c r="K118" s="185"/>
      <c r="L118" s="34" t="str">
        <f>+L2</f>
        <v>VITAL</v>
      </c>
      <c r="N118" s="60"/>
    </row>
    <row r="119" spans="1:35" ht="16.5" customHeight="1" x14ac:dyDescent="0.55000000000000004">
      <c r="A119" s="8" t="s">
        <v>97</v>
      </c>
      <c r="B119" s="17">
        <v>-28628.727272727276</v>
      </c>
      <c r="C119" s="9">
        <f t="shared" si="26"/>
        <v>-1.5819212758501596E-3</v>
      </c>
      <c r="D119" s="41"/>
      <c r="E119" s="17">
        <v>-9889.121212121212</v>
      </c>
      <c r="F119" s="9">
        <f t="shared" si="21"/>
        <v>-5.1295426535444364E-4</v>
      </c>
      <c r="G119" s="41"/>
      <c r="H119" s="26">
        <v>-10909.09090909091</v>
      </c>
      <c r="I119" s="9">
        <f t="shared" si="22"/>
        <v>-6.9937079033175799E-4</v>
      </c>
      <c r="J119" s="61" t="s">
        <v>112</v>
      </c>
      <c r="K119" s="185"/>
      <c r="L119" s="34" t="str">
        <f>+L2</f>
        <v>VITAL</v>
      </c>
      <c r="N119" s="60"/>
    </row>
    <row r="120" spans="1:35" ht="16.5" customHeight="1" x14ac:dyDescent="0.55000000000000004">
      <c r="A120" s="8" t="s">
        <v>98</v>
      </c>
      <c r="B120" s="17">
        <v>20357.327272727001</v>
      </c>
      <c r="C120" s="9">
        <f t="shared" si="26"/>
        <v>1.1248732374788419E-3</v>
      </c>
      <c r="D120" s="41"/>
      <c r="E120" s="17">
        <v>19890.369696969999</v>
      </c>
      <c r="F120" s="9">
        <f t="shared" ref="F120:F127" si="29">+E120/$E$10</f>
        <v>1.0317246352518948E-3</v>
      </c>
      <c r="G120" s="41"/>
      <c r="H120" s="26">
        <v>0</v>
      </c>
      <c r="I120" s="9">
        <f t="shared" ref="I120:I127" si="30">+H120/$H$10</f>
        <v>0</v>
      </c>
      <c r="J120" s="61"/>
      <c r="K120" s="185"/>
      <c r="N120" s="60"/>
    </row>
    <row r="121" spans="1:35" ht="16.5" customHeight="1" x14ac:dyDescent="0.55000000000000004">
      <c r="A121" s="130" t="s">
        <v>76</v>
      </c>
      <c r="B121" s="131">
        <f>SUM(B122)</f>
        <v>16210.242424242426</v>
      </c>
      <c r="C121" s="132">
        <f t="shared" si="26"/>
        <v>8.9572013220534218E-4</v>
      </c>
      <c r="D121" s="150"/>
      <c r="E121" s="131">
        <f>SUM(E122)</f>
        <v>18174.618181818183</v>
      </c>
      <c r="F121" s="132">
        <f t="shared" si="29"/>
        <v>9.4272764157497227E-4</v>
      </c>
      <c r="G121" s="150"/>
      <c r="H121" s="131">
        <f>SUM(H122)</f>
        <v>0</v>
      </c>
      <c r="I121" s="132">
        <f t="shared" si="30"/>
        <v>0</v>
      </c>
      <c r="J121" s="61"/>
      <c r="K121" s="185"/>
      <c r="N121" s="60"/>
    </row>
    <row r="122" spans="1:35" ht="16.5" customHeight="1" x14ac:dyDescent="0.55000000000000004">
      <c r="A122" s="8" t="s">
        <v>77</v>
      </c>
      <c r="B122" s="17">
        <v>16210.242424242426</v>
      </c>
      <c r="C122" s="9">
        <f t="shared" si="26"/>
        <v>8.9572013220534218E-4</v>
      </c>
      <c r="D122" s="42"/>
      <c r="E122" s="17">
        <v>18174.618181818183</v>
      </c>
      <c r="F122" s="9">
        <f t="shared" si="29"/>
        <v>9.4272764157497227E-4</v>
      </c>
      <c r="G122" s="42"/>
      <c r="H122" s="23">
        <v>0</v>
      </c>
      <c r="I122" s="9">
        <f t="shared" si="30"/>
        <v>0</v>
      </c>
      <c r="J122" s="61" t="str">
        <f>+J119</f>
        <v>CF</v>
      </c>
      <c r="K122" s="185"/>
      <c r="L122" s="34" t="str">
        <f>+L2</f>
        <v>VITAL</v>
      </c>
      <c r="N122" s="60"/>
    </row>
    <row r="123" spans="1:35" s="5" customFormat="1" ht="16.5" customHeight="1" x14ac:dyDescent="0.55000000000000004">
      <c r="A123" s="159" t="s">
        <v>78</v>
      </c>
      <c r="B123" s="160">
        <f>+B112+B116+B121</f>
        <v>28739.02424242397</v>
      </c>
      <c r="C123" s="161">
        <f t="shared" si="26"/>
        <v>1.5880158926790122E-3</v>
      </c>
      <c r="D123" s="162"/>
      <c r="E123" s="160">
        <f>+E112+E116+E121</f>
        <v>-84419.290909090618</v>
      </c>
      <c r="F123" s="161">
        <f t="shared" si="29"/>
        <v>-4.3788759811072353E-3</v>
      </c>
      <c r="G123" s="162"/>
      <c r="H123" s="160">
        <f>+H112+H116+H121</f>
        <v>-111212.12121212122</v>
      </c>
      <c r="I123" s="161">
        <f t="shared" si="30"/>
        <v>-7.1296966681043102E-3</v>
      </c>
      <c r="J123" s="46"/>
      <c r="K123" s="185"/>
      <c r="L123" s="57"/>
      <c r="M123" s="57"/>
      <c r="N123" s="167"/>
      <c r="O123" s="57"/>
      <c r="P123" s="56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</row>
    <row r="124" spans="1:35" s="13" customFormat="1" ht="10.5" customHeight="1" x14ac:dyDescent="0.55000000000000004">
      <c r="A124" s="11"/>
      <c r="B124" s="18" t="s">
        <v>119</v>
      </c>
      <c r="C124" s="12"/>
      <c r="D124" s="42"/>
      <c r="E124" s="18" t="s">
        <v>119</v>
      </c>
      <c r="F124" s="12"/>
      <c r="G124" s="42"/>
      <c r="H124" s="63"/>
      <c r="I124" s="12"/>
      <c r="J124" s="42"/>
      <c r="K124" s="185" t="s">
        <v>119</v>
      </c>
      <c r="L124" s="54"/>
      <c r="M124" s="54"/>
      <c r="N124" s="166"/>
      <c r="O124" s="54"/>
      <c r="P124" s="55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</row>
    <row r="125" spans="1:35" s="6" customFormat="1" ht="16.5" customHeight="1" x14ac:dyDescent="0.55000000000000004">
      <c r="A125" s="156" t="s">
        <v>83</v>
      </c>
      <c r="B125" s="157">
        <f>+B110+B123</f>
        <v>1034740.1927278717</v>
      </c>
      <c r="C125" s="158">
        <f t="shared" si="26"/>
        <v>5.7176049436639169E-2</v>
      </c>
      <c r="D125" s="129"/>
      <c r="E125" s="157">
        <f>+E110+E123</f>
        <v>1018693.8952672504</v>
      </c>
      <c r="F125" s="158">
        <f t="shared" si="29"/>
        <v>5.2840223864116603E-2</v>
      </c>
      <c r="G125" s="129"/>
      <c r="H125" s="157">
        <f>+H110+H123</f>
        <v>-782670.89752915513</v>
      </c>
      <c r="I125" s="158">
        <f t="shared" si="30"/>
        <v>-5.0176240049341223E-2</v>
      </c>
      <c r="J125" s="41"/>
      <c r="K125" s="185"/>
      <c r="L125" s="65"/>
      <c r="M125" s="65"/>
      <c r="N125" s="60"/>
      <c r="O125" s="65"/>
      <c r="P125" s="3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</row>
    <row r="126" spans="1:35" s="13" customFormat="1" ht="10.5" customHeight="1" x14ac:dyDescent="0.55000000000000004">
      <c r="A126" s="11"/>
      <c r="B126" s="18"/>
      <c r="C126" s="12"/>
      <c r="D126" s="42"/>
      <c r="E126" s="18"/>
      <c r="F126" s="12"/>
      <c r="G126" s="42"/>
      <c r="H126" s="18"/>
      <c r="I126" s="12"/>
      <c r="J126" s="42"/>
      <c r="K126" s="185"/>
      <c r="L126" s="54"/>
      <c r="M126" s="54"/>
      <c r="N126" s="166"/>
      <c r="O126" s="54"/>
      <c r="P126" s="55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</row>
    <row r="127" spans="1:35" ht="16.5" customHeight="1" x14ac:dyDescent="0.55000000000000004">
      <c r="A127" s="130" t="s">
        <v>84</v>
      </c>
      <c r="B127" s="131">
        <f>-B125*31.22%</f>
        <v>-323045.88816964155</v>
      </c>
      <c r="C127" s="132">
        <f t="shared" si="26"/>
        <v>-1.7850362634118749E-2</v>
      </c>
      <c r="D127" s="163"/>
      <c r="E127" s="131">
        <f>-E125*32.79%</f>
        <v>-334029.72825813136</v>
      </c>
      <c r="F127" s="132">
        <f t="shared" si="29"/>
        <v>-1.7326309405043833E-2</v>
      </c>
      <c r="G127" s="163"/>
      <c r="H127" s="131">
        <f>-H125*0.24</f>
        <v>187841.01540699723</v>
      </c>
      <c r="I127" s="132">
        <f t="shared" si="30"/>
        <v>1.2042297611841894E-2</v>
      </c>
      <c r="J127" s="61" t="str">
        <f>+J122</f>
        <v>CF</v>
      </c>
      <c r="K127" s="185"/>
      <c r="L127" s="34" t="s">
        <v>129</v>
      </c>
      <c r="N127" s="60"/>
    </row>
    <row r="128" spans="1:35" s="13" customFormat="1" ht="10.5" customHeight="1" x14ac:dyDescent="0.55000000000000004">
      <c r="A128" s="11"/>
      <c r="B128" s="18"/>
      <c r="C128" s="12"/>
      <c r="D128" s="42"/>
      <c r="E128" s="18"/>
      <c r="F128" s="12"/>
      <c r="G128" s="42"/>
      <c r="H128" s="18"/>
      <c r="I128" s="12"/>
      <c r="J128" s="42"/>
      <c r="K128" s="185"/>
      <c r="L128" s="54"/>
      <c r="M128" s="54"/>
      <c r="N128" s="166"/>
      <c r="O128" s="54"/>
      <c r="P128" s="55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</row>
    <row r="129" spans="1:35" s="6" customFormat="1" ht="16.5" customHeight="1" x14ac:dyDescent="0.55000000000000004">
      <c r="A129" s="152" t="s">
        <v>85</v>
      </c>
      <c r="B129" s="153">
        <f>+B125+B127</f>
        <v>711694.3045582301</v>
      </c>
      <c r="C129" s="154">
        <f>+B129/B10</f>
        <v>3.9325686802520417E-2</v>
      </c>
      <c r="D129" s="164"/>
      <c r="E129" s="153">
        <f>+E125+E127</f>
        <v>684664.16700911894</v>
      </c>
      <c r="F129" s="154">
        <f>+E129/E10</f>
        <v>3.5513914459072767E-2</v>
      </c>
      <c r="G129" s="164"/>
      <c r="H129" s="153">
        <f>+H125+H127</f>
        <v>-594829.88212215784</v>
      </c>
      <c r="I129" s="154">
        <f>+H129/H10</f>
        <v>-3.8133942437499325E-2</v>
      </c>
      <c r="J129" s="33"/>
      <c r="K129" s="185"/>
      <c r="L129" s="65"/>
      <c r="M129" s="65"/>
      <c r="N129" s="60"/>
      <c r="O129" s="65"/>
      <c r="P129" s="3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</row>
    <row r="130" spans="1:35" s="34" customFormat="1" x14ac:dyDescent="0.55000000000000004">
      <c r="B130" s="31"/>
      <c r="C130" s="32"/>
      <c r="D130" s="33"/>
      <c r="E130" s="31"/>
      <c r="F130" s="32"/>
      <c r="G130" s="33"/>
      <c r="H130" s="31"/>
      <c r="I130" s="32"/>
      <c r="J130" s="33"/>
      <c r="K130" s="183"/>
      <c r="N130" s="60"/>
      <c r="P130" s="35"/>
    </row>
    <row r="131" spans="1:35" s="34" customFormat="1" x14ac:dyDescent="0.55000000000000004">
      <c r="B131" s="31"/>
      <c r="C131" s="32"/>
      <c r="D131" s="33"/>
      <c r="E131" s="31"/>
      <c r="F131" s="32"/>
      <c r="G131" s="33"/>
      <c r="H131" s="31"/>
      <c r="I131" s="32"/>
      <c r="J131" s="33"/>
      <c r="K131" s="183"/>
      <c r="N131" s="60"/>
      <c r="P131" s="35"/>
    </row>
    <row r="132" spans="1:35" s="34" customFormat="1" x14ac:dyDescent="0.55000000000000004">
      <c r="B132" s="31"/>
      <c r="C132" s="32"/>
      <c r="D132" s="33"/>
      <c r="E132" s="31"/>
      <c r="F132" s="69" t="s">
        <v>113</v>
      </c>
      <c r="G132" s="33"/>
      <c r="H132" s="191"/>
      <c r="I132" s="32"/>
      <c r="J132" s="33"/>
      <c r="K132" s="183"/>
      <c r="N132" s="60"/>
      <c r="P132" s="35"/>
    </row>
    <row r="133" spans="1:35" s="34" customFormat="1" x14ac:dyDescent="0.55000000000000004">
      <c r="B133" s="31"/>
      <c r="C133" s="32"/>
      <c r="D133" s="33"/>
      <c r="E133" s="31"/>
      <c r="F133" s="69" t="s">
        <v>114</v>
      </c>
      <c r="G133" s="33"/>
      <c r="H133" s="191"/>
      <c r="I133" s="32"/>
      <c r="J133" s="33"/>
      <c r="K133" s="183"/>
      <c r="N133" s="60"/>
      <c r="P133" s="35"/>
    </row>
    <row r="134" spans="1:35" s="34" customFormat="1" x14ac:dyDescent="0.55000000000000004">
      <c r="B134" s="31"/>
      <c r="C134" s="32"/>
      <c r="D134" s="33"/>
      <c r="E134" s="31"/>
      <c r="F134" s="67" t="s">
        <v>115</v>
      </c>
      <c r="G134" s="66"/>
      <c r="H134" s="36">
        <f>H133+H132</f>
        <v>0</v>
      </c>
      <c r="I134" s="32"/>
      <c r="K134" s="186"/>
      <c r="L134" s="103"/>
      <c r="N134" s="60"/>
      <c r="P134" s="35"/>
    </row>
    <row r="135" spans="1:35" s="34" customFormat="1" x14ac:dyDescent="0.55000000000000004">
      <c r="B135" s="31"/>
      <c r="C135" s="32"/>
      <c r="D135" s="33"/>
      <c r="E135" s="31"/>
      <c r="F135" s="32"/>
      <c r="G135" s="33"/>
      <c r="H135" s="31"/>
      <c r="I135" s="32"/>
      <c r="J135" s="33"/>
      <c r="K135" s="183"/>
      <c r="N135" s="60"/>
      <c r="P135" s="35"/>
    </row>
    <row r="136" spans="1:35" s="34" customFormat="1" x14ac:dyDescent="0.55000000000000004">
      <c r="B136" s="31"/>
      <c r="C136" s="32"/>
      <c r="D136" s="33"/>
      <c r="E136" s="31"/>
      <c r="F136" s="67" t="s">
        <v>223</v>
      </c>
      <c r="G136" s="33"/>
      <c r="H136" s="191"/>
      <c r="I136" s="32"/>
      <c r="J136" s="33"/>
      <c r="K136" s="183"/>
      <c r="L136" s="31"/>
      <c r="N136" s="60"/>
      <c r="P136" s="35"/>
    </row>
    <row r="137" spans="1:35" s="34" customFormat="1" x14ac:dyDescent="0.55000000000000004">
      <c r="B137" s="31"/>
      <c r="C137" s="32"/>
      <c r="D137" s="33"/>
      <c r="E137" s="31"/>
      <c r="F137" s="67" t="s">
        <v>118</v>
      </c>
      <c r="G137" s="33"/>
      <c r="H137" s="191"/>
      <c r="I137" s="32"/>
      <c r="J137" s="33"/>
      <c r="K137" s="183"/>
      <c r="L137" s="104"/>
      <c r="N137" s="60"/>
      <c r="P137" s="35"/>
    </row>
    <row r="138" spans="1:35" s="34" customFormat="1" x14ac:dyDescent="0.55000000000000004">
      <c r="B138" s="31"/>
      <c r="C138" s="32"/>
      <c r="D138" s="33"/>
      <c r="E138" s="31"/>
      <c r="F138" s="67" t="s">
        <v>224</v>
      </c>
      <c r="G138" s="33"/>
      <c r="H138" s="31">
        <f>+H136+H137</f>
        <v>0</v>
      </c>
      <c r="I138" s="32"/>
      <c r="J138" s="33"/>
      <c r="K138" s="183"/>
      <c r="L138" s="104"/>
      <c r="N138" s="60"/>
      <c r="P138" s="35"/>
    </row>
    <row r="139" spans="1:35" s="34" customFormat="1" x14ac:dyDescent="0.55000000000000004">
      <c r="B139" s="31"/>
      <c r="C139" s="32"/>
      <c r="D139" s="33"/>
      <c r="E139" s="31"/>
      <c r="F139" s="32"/>
      <c r="G139" s="33"/>
      <c r="H139" s="31"/>
      <c r="I139" s="32"/>
      <c r="J139" s="33"/>
      <c r="K139" s="183"/>
      <c r="N139" s="60"/>
      <c r="P139" s="35"/>
    </row>
    <row r="140" spans="1:35" s="34" customFormat="1" x14ac:dyDescent="0.55000000000000004">
      <c r="B140" s="31"/>
      <c r="C140" s="32"/>
      <c r="D140" s="33"/>
      <c r="E140" s="31"/>
      <c r="F140" s="67" t="s">
        <v>123</v>
      </c>
      <c r="G140" s="33"/>
      <c r="H140" s="31">
        <f>+H11</f>
        <v>15598436.565982409</v>
      </c>
      <c r="I140" s="32"/>
      <c r="J140" s="33"/>
      <c r="K140" s="183"/>
      <c r="N140" s="60"/>
      <c r="P140" s="35"/>
    </row>
    <row r="141" spans="1:35" s="34" customFormat="1" x14ac:dyDescent="0.55000000000000004">
      <c r="B141" s="31"/>
      <c r="C141" s="32"/>
      <c r="D141" s="33"/>
      <c r="E141" s="31"/>
      <c r="F141" s="32"/>
      <c r="G141" s="33"/>
      <c r="H141" s="31"/>
      <c r="I141" s="32"/>
      <c r="J141" s="33"/>
      <c r="K141" s="183"/>
      <c r="N141" s="60"/>
      <c r="P141" s="35"/>
    </row>
    <row r="142" spans="1:35" s="34" customFormat="1" x14ac:dyDescent="0.55000000000000004">
      <c r="B142" s="31"/>
      <c r="C142" s="32"/>
      <c r="D142" s="33"/>
      <c r="E142" s="31"/>
      <c r="F142" s="32" t="s">
        <v>117</v>
      </c>
      <c r="G142" s="33"/>
      <c r="H142" s="191"/>
      <c r="I142" s="32"/>
      <c r="J142" s="33"/>
      <c r="K142" s="183"/>
      <c r="N142" s="60"/>
      <c r="P142" s="35"/>
    </row>
    <row r="143" spans="1:35" s="34" customFormat="1" x14ac:dyDescent="0.55000000000000004">
      <c r="B143" s="31"/>
      <c r="C143" s="32"/>
      <c r="D143" s="33"/>
      <c r="E143" s="31"/>
      <c r="F143" s="32" t="s">
        <v>116</v>
      </c>
      <c r="G143" s="33"/>
      <c r="H143" s="192"/>
      <c r="I143" s="32"/>
      <c r="J143" s="33"/>
      <c r="K143" s="183"/>
      <c r="N143" s="60"/>
      <c r="P143" s="35"/>
    </row>
    <row r="144" spans="1:35" s="34" customFormat="1" x14ac:dyDescent="0.55000000000000004">
      <c r="B144" s="31"/>
      <c r="C144" s="32"/>
      <c r="D144" s="33"/>
      <c r="E144" s="31"/>
      <c r="F144" s="32"/>
      <c r="G144" s="33"/>
      <c r="H144" s="31"/>
      <c r="I144" s="32"/>
      <c r="J144" s="33"/>
      <c r="K144" s="183"/>
      <c r="N144" s="60"/>
      <c r="P144" s="35"/>
    </row>
    <row r="145" spans="2:16" s="34" customFormat="1" x14ac:dyDescent="0.55000000000000004">
      <c r="B145" s="31"/>
      <c r="C145" s="32"/>
      <c r="D145" s="33"/>
      <c r="E145" s="31"/>
      <c r="F145" s="67" t="s">
        <v>214</v>
      </c>
      <c r="G145" s="66"/>
      <c r="H145" s="191"/>
      <c r="I145" s="32"/>
      <c r="J145" s="33"/>
      <c r="K145" s="183"/>
      <c r="N145" s="60"/>
      <c r="P145" s="35"/>
    </row>
    <row r="146" spans="2:16" s="34" customFormat="1" x14ac:dyDescent="0.55000000000000004">
      <c r="B146" s="31"/>
      <c r="C146" s="32"/>
      <c r="D146" s="33"/>
      <c r="E146" s="31"/>
      <c r="F146" s="67" t="s">
        <v>215</v>
      </c>
      <c r="G146" s="66"/>
      <c r="H146" s="191"/>
      <c r="I146" s="32"/>
      <c r="J146" s="33"/>
      <c r="K146" s="183"/>
      <c r="N146" s="60"/>
      <c r="P146" s="35"/>
    </row>
    <row r="147" spans="2:16" s="34" customFormat="1" x14ac:dyDescent="0.55000000000000004">
      <c r="B147" s="31"/>
      <c r="C147" s="32"/>
      <c r="D147" s="33"/>
      <c r="E147" s="31"/>
      <c r="F147" s="69"/>
      <c r="G147" s="33"/>
      <c r="H147" s="31"/>
      <c r="I147" s="32"/>
      <c r="J147" s="33"/>
      <c r="K147" s="183"/>
      <c r="N147" s="60"/>
      <c r="P147" s="35"/>
    </row>
    <row r="148" spans="2:16" s="34" customFormat="1" x14ac:dyDescent="0.55000000000000004">
      <c r="B148" s="31"/>
      <c r="C148" s="32"/>
      <c r="D148" s="33"/>
      <c r="E148" s="31"/>
      <c r="F148" s="67" t="s">
        <v>222</v>
      </c>
      <c r="G148" s="33"/>
      <c r="H148" s="191"/>
      <c r="I148" s="32"/>
      <c r="J148" s="33"/>
      <c r="K148" s="183"/>
      <c r="N148" s="60"/>
      <c r="P148" s="35"/>
    </row>
    <row r="149" spans="2:16" s="34" customFormat="1" x14ac:dyDescent="0.55000000000000004">
      <c r="B149" s="31"/>
      <c r="C149" s="32"/>
      <c r="D149" s="33"/>
      <c r="E149" s="31"/>
      <c r="F149" s="67" t="s">
        <v>124</v>
      </c>
      <c r="G149" s="33"/>
      <c r="H149" s="191"/>
      <c r="I149" s="32"/>
      <c r="J149" s="33"/>
      <c r="K149" s="183"/>
      <c r="N149" s="60"/>
      <c r="P149" s="35"/>
    </row>
    <row r="150" spans="2:16" s="34" customFormat="1" x14ac:dyDescent="0.55000000000000004">
      <c r="B150" s="31"/>
      <c r="C150" s="32"/>
      <c r="D150" s="33"/>
      <c r="E150" s="31"/>
      <c r="F150" s="32"/>
      <c r="G150" s="33"/>
      <c r="H150" s="31"/>
      <c r="I150" s="32"/>
      <c r="J150" s="33"/>
      <c r="K150" s="183"/>
      <c r="N150" s="60"/>
      <c r="P150" s="35"/>
    </row>
    <row r="151" spans="2:16" s="34" customFormat="1" x14ac:dyDescent="0.55000000000000004">
      <c r="B151" s="31"/>
      <c r="C151" s="32"/>
      <c r="D151" s="33"/>
      <c r="E151" s="31"/>
      <c r="F151" s="32"/>
      <c r="G151" s="33"/>
      <c r="H151" s="31"/>
      <c r="I151" s="32"/>
      <c r="J151" s="33"/>
      <c r="K151" s="183"/>
      <c r="N151" s="60"/>
      <c r="P151" s="35"/>
    </row>
    <row r="152" spans="2:16" s="34" customFormat="1" x14ac:dyDescent="0.55000000000000004">
      <c r="B152" s="31"/>
      <c r="C152" s="32"/>
      <c r="D152" s="33"/>
      <c r="E152" s="31"/>
      <c r="F152" s="32"/>
      <c r="G152" s="33"/>
      <c r="H152" s="31"/>
      <c r="I152" s="32"/>
      <c r="J152" s="33"/>
      <c r="K152" s="183"/>
      <c r="N152" s="60"/>
      <c r="P152" s="35"/>
    </row>
    <row r="153" spans="2:16" s="34" customFormat="1" x14ac:dyDescent="0.55000000000000004">
      <c r="B153" s="31"/>
      <c r="C153" s="32"/>
      <c r="D153" s="33"/>
      <c r="E153" s="31"/>
      <c r="F153" s="32"/>
      <c r="G153" s="33"/>
      <c r="H153" s="31"/>
      <c r="I153" s="32"/>
      <c r="J153" s="33"/>
      <c r="K153" s="183"/>
      <c r="N153" s="60"/>
      <c r="P153" s="35"/>
    </row>
    <row r="154" spans="2:16" s="34" customFormat="1" x14ac:dyDescent="0.55000000000000004">
      <c r="B154" s="31"/>
      <c r="C154" s="32"/>
      <c r="D154" s="33"/>
      <c r="E154" s="31"/>
      <c r="F154" s="32"/>
      <c r="G154" s="33"/>
      <c r="H154" s="31"/>
      <c r="I154" s="32"/>
      <c r="J154" s="33"/>
      <c r="K154" s="183"/>
      <c r="N154" s="60"/>
      <c r="P154" s="35"/>
    </row>
    <row r="155" spans="2:16" s="34" customFormat="1" x14ac:dyDescent="0.55000000000000004">
      <c r="B155" s="31"/>
      <c r="C155" s="32"/>
      <c r="D155" s="33"/>
      <c r="E155" s="31"/>
      <c r="F155" s="32"/>
      <c r="G155" s="33"/>
      <c r="H155" s="31"/>
      <c r="I155" s="32"/>
      <c r="J155" s="33"/>
      <c r="K155" s="183"/>
      <c r="N155" s="60"/>
      <c r="P155" s="35"/>
    </row>
    <row r="156" spans="2:16" s="34" customFormat="1" x14ac:dyDescent="0.55000000000000004">
      <c r="B156" s="31"/>
      <c r="C156" s="32"/>
      <c r="D156" s="33"/>
      <c r="E156" s="31"/>
      <c r="F156" s="32"/>
      <c r="G156" s="33"/>
      <c r="H156" s="31"/>
      <c r="I156" s="32"/>
      <c r="J156" s="33"/>
      <c r="K156" s="183"/>
      <c r="N156" s="60"/>
      <c r="P156" s="35"/>
    </row>
    <row r="157" spans="2:16" s="34" customFormat="1" x14ac:dyDescent="0.55000000000000004">
      <c r="B157" s="31"/>
      <c r="C157" s="32"/>
      <c r="D157" s="33"/>
      <c r="E157" s="31"/>
      <c r="F157" s="32"/>
      <c r="G157" s="33"/>
      <c r="H157" s="31"/>
      <c r="I157" s="32"/>
      <c r="J157" s="33"/>
      <c r="K157" s="183"/>
      <c r="N157" s="60"/>
      <c r="P157" s="35"/>
    </row>
    <row r="158" spans="2:16" s="34" customFormat="1" x14ac:dyDescent="0.55000000000000004">
      <c r="B158" s="31"/>
      <c r="C158" s="32"/>
      <c r="D158" s="33"/>
      <c r="E158" s="31"/>
      <c r="F158" s="32"/>
      <c r="G158" s="33"/>
      <c r="H158" s="31"/>
      <c r="I158" s="32"/>
      <c r="J158" s="33"/>
      <c r="K158" s="183"/>
      <c r="N158" s="60"/>
      <c r="P158" s="35"/>
    </row>
    <row r="159" spans="2:16" s="34" customFormat="1" x14ac:dyDescent="0.55000000000000004">
      <c r="B159" s="31"/>
      <c r="C159" s="32"/>
      <c r="D159" s="33"/>
      <c r="E159" s="31"/>
      <c r="F159" s="32"/>
      <c r="G159" s="33"/>
      <c r="H159" s="31"/>
      <c r="I159" s="32"/>
      <c r="J159" s="33"/>
      <c r="K159" s="183"/>
      <c r="N159" s="60"/>
      <c r="P159" s="35"/>
    </row>
    <row r="160" spans="2:16" s="34" customFormat="1" x14ac:dyDescent="0.55000000000000004">
      <c r="B160" s="31"/>
      <c r="C160" s="32"/>
      <c r="D160" s="33"/>
      <c r="E160" s="31"/>
      <c r="F160" s="32"/>
      <c r="G160" s="33"/>
      <c r="H160" s="31"/>
      <c r="I160" s="32"/>
      <c r="J160" s="33"/>
      <c r="K160" s="183"/>
      <c r="N160" s="60"/>
      <c r="P160" s="35"/>
    </row>
    <row r="161" spans="2:16" s="34" customFormat="1" x14ac:dyDescent="0.55000000000000004">
      <c r="B161" s="31"/>
      <c r="C161" s="32"/>
      <c r="D161" s="33"/>
      <c r="E161" s="31"/>
      <c r="F161" s="32"/>
      <c r="G161" s="33"/>
      <c r="H161" s="31"/>
      <c r="I161" s="32"/>
      <c r="J161" s="33"/>
      <c r="K161" s="183"/>
      <c r="N161" s="60"/>
      <c r="P161" s="35"/>
    </row>
    <row r="162" spans="2:16" s="34" customFormat="1" x14ac:dyDescent="0.55000000000000004">
      <c r="B162" s="31"/>
      <c r="C162" s="32"/>
      <c r="D162" s="33"/>
      <c r="E162" s="31"/>
      <c r="F162" s="32"/>
      <c r="G162" s="33"/>
      <c r="H162" s="31"/>
      <c r="I162" s="32"/>
      <c r="J162" s="33"/>
      <c r="K162" s="183"/>
      <c r="N162" s="60"/>
      <c r="P162" s="35"/>
    </row>
    <row r="163" spans="2:16" s="34" customFormat="1" x14ac:dyDescent="0.55000000000000004">
      <c r="B163" s="31"/>
      <c r="C163" s="32"/>
      <c r="D163" s="33"/>
      <c r="E163" s="31"/>
      <c r="F163" s="32"/>
      <c r="G163" s="33"/>
      <c r="H163" s="31"/>
      <c r="I163" s="32"/>
      <c r="J163" s="33"/>
      <c r="K163" s="183"/>
      <c r="N163" s="60"/>
      <c r="P163" s="35"/>
    </row>
    <row r="164" spans="2:16" s="34" customFormat="1" x14ac:dyDescent="0.55000000000000004">
      <c r="B164" s="31"/>
      <c r="C164" s="32"/>
      <c r="D164" s="33"/>
      <c r="E164" s="31"/>
      <c r="F164" s="32"/>
      <c r="G164" s="33"/>
      <c r="H164" s="31"/>
      <c r="I164" s="32"/>
      <c r="J164" s="33"/>
      <c r="K164" s="183"/>
      <c r="N164" s="60"/>
      <c r="P164" s="35"/>
    </row>
    <row r="165" spans="2:16" s="34" customFormat="1" x14ac:dyDescent="0.55000000000000004">
      <c r="B165" s="31"/>
      <c r="C165" s="32"/>
      <c r="D165" s="33"/>
      <c r="E165" s="31"/>
      <c r="F165" s="32"/>
      <c r="G165" s="33"/>
      <c r="H165" s="31"/>
      <c r="I165" s="32"/>
      <c r="J165" s="33"/>
      <c r="K165" s="183"/>
      <c r="N165" s="60"/>
      <c r="P165" s="35"/>
    </row>
    <row r="166" spans="2:16" s="34" customFormat="1" x14ac:dyDescent="0.55000000000000004">
      <c r="B166" s="31"/>
      <c r="C166" s="32"/>
      <c r="D166" s="33"/>
      <c r="E166" s="31"/>
      <c r="F166" s="32"/>
      <c r="G166" s="33"/>
      <c r="H166" s="31"/>
      <c r="I166" s="32"/>
      <c r="J166" s="33"/>
      <c r="K166" s="183"/>
      <c r="N166" s="60"/>
      <c r="P166" s="35"/>
    </row>
    <row r="167" spans="2:16" s="34" customFormat="1" x14ac:dyDescent="0.55000000000000004">
      <c r="B167" s="31"/>
      <c r="C167" s="32"/>
      <c r="D167" s="33"/>
      <c r="E167" s="31"/>
      <c r="F167" s="32"/>
      <c r="G167" s="33"/>
      <c r="H167" s="31"/>
      <c r="I167" s="32"/>
      <c r="J167" s="33"/>
      <c r="K167" s="183"/>
      <c r="N167" s="60"/>
      <c r="P167" s="35"/>
    </row>
    <row r="168" spans="2:16" s="34" customFormat="1" x14ac:dyDescent="0.55000000000000004">
      <c r="B168" s="31"/>
      <c r="C168" s="32"/>
      <c r="D168" s="33"/>
      <c r="E168" s="31"/>
      <c r="F168" s="32"/>
      <c r="G168" s="33"/>
      <c r="H168" s="31"/>
      <c r="I168" s="32"/>
      <c r="J168" s="33"/>
      <c r="K168" s="183"/>
      <c r="N168" s="60"/>
      <c r="P168" s="35"/>
    </row>
    <row r="169" spans="2:16" s="34" customFormat="1" x14ac:dyDescent="0.55000000000000004">
      <c r="B169" s="31"/>
      <c r="C169" s="32"/>
      <c r="D169" s="33"/>
      <c r="E169" s="31"/>
      <c r="F169" s="32"/>
      <c r="G169" s="33"/>
      <c r="H169" s="31"/>
      <c r="I169" s="32"/>
      <c r="J169" s="33"/>
      <c r="K169" s="183"/>
      <c r="N169" s="60"/>
      <c r="P169" s="35"/>
    </row>
    <row r="170" spans="2:16" s="34" customFormat="1" x14ac:dyDescent="0.55000000000000004">
      <c r="B170" s="31"/>
      <c r="C170" s="32"/>
      <c r="D170" s="33"/>
      <c r="E170" s="31"/>
      <c r="F170" s="32"/>
      <c r="G170" s="33"/>
      <c r="H170" s="31"/>
      <c r="I170" s="32"/>
      <c r="J170" s="33"/>
      <c r="K170" s="183"/>
      <c r="N170" s="60"/>
      <c r="P170" s="35"/>
    </row>
    <row r="171" spans="2:16" s="34" customFormat="1" x14ac:dyDescent="0.55000000000000004">
      <c r="B171" s="31"/>
      <c r="C171" s="32"/>
      <c r="D171" s="33"/>
      <c r="E171" s="31"/>
      <c r="F171" s="32"/>
      <c r="G171" s="33"/>
      <c r="H171" s="31"/>
      <c r="I171" s="32"/>
      <c r="J171" s="33"/>
      <c r="K171" s="183"/>
      <c r="N171" s="60"/>
      <c r="P171" s="35"/>
    </row>
    <row r="172" spans="2:16" s="34" customFormat="1" x14ac:dyDescent="0.55000000000000004">
      <c r="B172" s="31"/>
      <c r="C172" s="32"/>
      <c r="D172" s="33"/>
      <c r="E172" s="31"/>
      <c r="F172" s="32"/>
      <c r="G172" s="33"/>
      <c r="H172" s="31"/>
      <c r="I172" s="32"/>
      <c r="J172" s="33"/>
      <c r="K172" s="183"/>
      <c r="N172" s="60"/>
      <c r="P172" s="35"/>
    </row>
    <row r="173" spans="2:16" s="34" customFormat="1" x14ac:dyDescent="0.55000000000000004">
      <c r="B173" s="31"/>
      <c r="C173" s="32"/>
      <c r="D173" s="33"/>
      <c r="E173" s="31"/>
      <c r="F173" s="32"/>
      <c r="G173" s="33"/>
      <c r="H173" s="31"/>
      <c r="I173" s="32"/>
      <c r="J173" s="33"/>
      <c r="K173" s="183"/>
      <c r="N173" s="60"/>
      <c r="P173" s="35"/>
    </row>
    <row r="174" spans="2:16" s="34" customFormat="1" x14ac:dyDescent="0.55000000000000004">
      <c r="B174" s="31"/>
      <c r="C174" s="32"/>
      <c r="D174" s="33"/>
      <c r="E174" s="31"/>
      <c r="F174" s="32"/>
      <c r="G174" s="33"/>
      <c r="H174" s="31"/>
      <c r="I174" s="32"/>
      <c r="J174" s="33"/>
      <c r="K174" s="183"/>
      <c r="N174" s="60"/>
      <c r="P174" s="35"/>
    </row>
    <row r="175" spans="2:16" s="34" customFormat="1" x14ac:dyDescent="0.55000000000000004">
      <c r="B175" s="31"/>
      <c r="C175" s="32"/>
      <c r="D175" s="33"/>
      <c r="E175" s="31"/>
      <c r="F175" s="32"/>
      <c r="G175" s="33"/>
      <c r="H175" s="31"/>
      <c r="I175" s="32"/>
      <c r="J175" s="33"/>
      <c r="K175" s="183"/>
      <c r="N175" s="60"/>
      <c r="P175" s="35"/>
    </row>
    <row r="176" spans="2:16" s="34" customFormat="1" x14ac:dyDescent="0.55000000000000004">
      <c r="B176" s="31"/>
      <c r="C176" s="32"/>
      <c r="D176" s="33"/>
      <c r="E176" s="31"/>
      <c r="F176" s="32"/>
      <c r="G176" s="33"/>
      <c r="H176" s="31"/>
      <c r="I176" s="32"/>
      <c r="J176" s="33"/>
      <c r="K176" s="183"/>
      <c r="N176" s="60"/>
      <c r="P176" s="35"/>
    </row>
    <row r="177" spans="2:16" s="34" customFormat="1" x14ac:dyDescent="0.55000000000000004">
      <c r="B177" s="31"/>
      <c r="C177" s="32"/>
      <c r="D177" s="33"/>
      <c r="E177" s="31"/>
      <c r="F177" s="32"/>
      <c r="G177" s="33"/>
      <c r="H177" s="31"/>
      <c r="I177" s="32"/>
      <c r="J177" s="33"/>
      <c r="K177" s="183"/>
      <c r="N177" s="60"/>
      <c r="P177" s="35"/>
    </row>
    <row r="178" spans="2:16" s="34" customFormat="1" x14ac:dyDescent="0.55000000000000004">
      <c r="B178" s="31"/>
      <c r="C178" s="32"/>
      <c r="D178" s="33"/>
      <c r="E178" s="31"/>
      <c r="F178" s="32"/>
      <c r="G178" s="33"/>
      <c r="H178" s="31"/>
      <c r="I178" s="32"/>
      <c r="J178" s="33"/>
      <c r="K178" s="183"/>
      <c r="N178" s="60"/>
      <c r="P178" s="35"/>
    </row>
    <row r="179" spans="2:16" s="34" customFormat="1" x14ac:dyDescent="0.55000000000000004">
      <c r="B179" s="31"/>
      <c r="C179" s="32"/>
      <c r="D179" s="33"/>
      <c r="E179" s="31"/>
      <c r="F179" s="32"/>
      <c r="G179" s="33"/>
      <c r="H179" s="31"/>
      <c r="I179" s="32"/>
      <c r="J179" s="33"/>
      <c r="K179" s="183"/>
      <c r="N179" s="60"/>
      <c r="P179" s="35"/>
    </row>
    <row r="180" spans="2:16" s="34" customFormat="1" x14ac:dyDescent="0.55000000000000004">
      <c r="B180" s="31"/>
      <c r="C180" s="32"/>
      <c r="D180" s="33"/>
      <c r="E180" s="31"/>
      <c r="F180" s="32"/>
      <c r="G180" s="33"/>
      <c r="H180" s="31"/>
      <c r="I180" s="32"/>
      <c r="J180" s="33"/>
      <c r="K180" s="183"/>
      <c r="N180" s="60"/>
      <c r="P180" s="35"/>
    </row>
    <row r="181" spans="2:16" s="34" customFormat="1" x14ac:dyDescent="0.55000000000000004">
      <c r="B181" s="31"/>
      <c r="C181" s="32"/>
      <c r="D181" s="33"/>
      <c r="E181" s="31"/>
      <c r="F181" s="32"/>
      <c r="G181" s="33"/>
      <c r="H181" s="31"/>
      <c r="I181" s="32"/>
      <c r="J181" s="33"/>
      <c r="K181" s="183"/>
      <c r="N181" s="60"/>
      <c r="P181" s="35"/>
    </row>
    <row r="182" spans="2:16" s="34" customFormat="1" x14ac:dyDescent="0.55000000000000004">
      <c r="B182" s="31"/>
      <c r="C182" s="32"/>
      <c r="D182" s="33"/>
      <c r="E182" s="31"/>
      <c r="F182" s="32"/>
      <c r="G182" s="33"/>
      <c r="H182" s="31"/>
      <c r="I182" s="32"/>
      <c r="J182" s="33"/>
      <c r="K182" s="183"/>
      <c r="N182" s="60"/>
      <c r="P182" s="35"/>
    </row>
    <row r="183" spans="2:16" s="34" customFormat="1" x14ac:dyDescent="0.55000000000000004">
      <c r="B183" s="31"/>
      <c r="C183" s="32"/>
      <c r="D183" s="33"/>
      <c r="E183" s="31"/>
      <c r="F183" s="32"/>
      <c r="G183" s="33"/>
      <c r="H183" s="31"/>
      <c r="I183" s="32"/>
      <c r="J183" s="33"/>
      <c r="K183" s="183"/>
      <c r="N183" s="60"/>
      <c r="P183" s="35"/>
    </row>
    <row r="184" spans="2:16" s="34" customFormat="1" x14ac:dyDescent="0.55000000000000004">
      <c r="B184" s="31"/>
      <c r="C184" s="32"/>
      <c r="D184" s="33"/>
      <c r="E184" s="31"/>
      <c r="F184" s="32"/>
      <c r="G184" s="33"/>
      <c r="H184" s="31"/>
      <c r="I184" s="32"/>
      <c r="J184" s="33"/>
      <c r="K184" s="183"/>
      <c r="N184" s="60"/>
      <c r="P184" s="35"/>
    </row>
    <row r="185" spans="2:16" s="34" customFormat="1" x14ac:dyDescent="0.55000000000000004">
      <c r="B185" s="31"/>
      <c r="C185" s="32"/>
      <c r="D185" s="33"/>
      <c r="E185" s="31"/>
      <c r="F185" s="32"/>
      <c r="G185" s="33"/>
      <c r="H185" s="31"/>
      <c r="I185" s="32"/>
      <c r="J185" s="33"/>
      <c r="K185" s="183"/>
      <c r="N185" s="60"/>
      <c r="P185" s="35"/>
    </row>
    <row r="186" spans="2:16" s="34" customFormat="1" x14ac:dyDescent="0.55000000000000004">
      <c r="B186" s="31"/>
      <c r="C186" s="32"/>
      <c r="D186" s="33"/>
      <c r="E186" s="31"/>
      <c r="F186" s="32"/>
      <c r="G186" s="33"/>
      <c r="H186" s="31"/>
      <c r="I186" s="32"/>
      <c r="J186" s="33"/>
      <c r="K186" s="183"/>
      <c r="N186" s="60"/>
      <c r="P186" s="35"/>
    </row>
    <row r="187" spans="2:16" s="34" customFormat="1" x14ac:dyDescent="0.55000000000000004">
      <c r="B187" s="31"/>
      <c r="C187" s="32"/>
      <c r="D187" s="33"/>
      <c r="E187" s="31"/>
      <c r="F187" s="32"/>
      <c r="G187" s="33"/>
      <c r="H187" s="31"/>
      <c r="I187" s="32"/>
      <c r="J187" s="33"/>
      <c r="K187" s="183"/>
      <c r="N187" s="60"/>
      <c r="P187" s="35"/>
    </row>
    <row r="188" spans="2:16" s="34" customFormat="1" x14ac:dyDescent="0.55000000000000004">
      <c r="B188" s="31"/>
      <c r="C188" s="32"/>
      <c r="D188" s="33"/>
      <c r="E188" s="31"/>
      <c r="F188" s="32"/>
      <c r="G188" s="33"/>
      <c r="H188" s="31"/>
      <c r="I188" s="32"/>
      <c r="J188" s="33"/>
      <c r="K188" s="183"/>
      <c r="N188" s="60"/>
      <c r="P188" s="35"/>
    </row>
    <row r="189" spans="2:16" s="34" customFormat="1" x14ac:dyDescent="0.55000000000000004">
      <c r="B189" s="31"/>
      <c r="C189" s="32"/>
      <c r="D189" s="33"/>
      <c r="E189" s="31"/>
      <c r="F189" s="32"/>
      <c r="G189" s="33"/>
      <c r="H189" s="31"/>
      <c r="I189" s="32"/>
      <c r="J189" s="33"/>
      <c r="K189" s="183"/>
      <c r="N189" s="60"/>
      <c r="P189" s="35"/>
    </row>
    <row r="190" spans="2:16" s="34" customFormat="1" x14ac:dyDescent="0.55000000000000004">
      <c r="B190" s="31"/>
      <c r="C190" s="32"/>
      <c r="D190" s="33"/>
      <c r="E190" s="31"/>
      <c r="F190" s="32"/>
      <c r="G190" s="33"/>
      <c r="H190" s="31"/>
      <c r="I190" s="32"/>
      <c r="J190" s="33"/>
      <c r="K190" s="183"/>
      <c r="N190" s="60"/>
      <c r="P190" s="35"/>
    </row>
    <row r="191" spans="2:16" s="34" customFormat="1" x14ac:dyDescent="0.55000000000000004">
      <c r="B191" s="31"/>
      <c r="C191" s="32"/>
      <c r="D191" s="33"/>
      <c r="E191" s="31"/>
      <c r="F191" s="32"/>
      <c r="G191" s="33"/>
      <c r="H191" s="31"/>
      <c r="I191" s="32"/>
      <c r="J191" s="33"/>
      <c r="K191" s="183"/>
      <c r="N191" s="60"/>
      <c r="P191" s="35"/>
    </row>
    <row r="192" spans="2:16" s="34" customFormat="1" x14ac:dyDescent="0.55000000000000004">
      <c r="B192" s="31"/>
      <c r="C192" s="32"/>
      <c r="D192" s="33"/>
      <c r="E192" s="31"/>
      <c r="F192" s="32"/>
      <c r="G192" s="33"/>
      <c r="H192" s="31"/>
      <c r="I192" s="32"/>
      <c r="J192" s="33"/>
      <c r="K192" s="183"/>
      <c r="N192" s="60"/>
      <c r="P192" s="35"/>
    </row>
    <row r="193" spans="2:16" s="34" customFormat="1" x14ac:dyDescent="0.55000000000000004">
      <c r="B193" s="31"/>
      <c r="C193" s="32"/>
      <c r="D193" s="33"/>
      <c r="E193" s="31"/>
      <c r="F193" s="32"/>
      <c r="G193" s="33"/>
      <c r="H193" s="31"/>
      <c r="I193" s="32"/>
      <c r="J193" s="33"/>
      <c r="K193" s="183"/>
      <c r="N193" s="60"/>
      <c r="P193" s="35"/>
    </row>
    <row r="194" spans="2:16" s="34" customFormat="1" x14ac:dyDescent="0.55000000000000004">
      <c r="B194" s="31"/>
      <c r="C194" s="32"/>
      <c r="D194" s="33"/>
      <c r="E194" s="31"/>
      <c r="F194" s="32"/>
      <c r="G194" s="33"/>
      <c r="H194" s="31"/>
      <c r="I194" s="32"/>
      <c r="J194" s="33"/>
      <c r="K194" s="183"/>
      <c r="N194" s="60"/>
      <c r="P194" s="35"/>
    </row>
    <row r="195" spans="2:16" s="34" customFormat="1" x14ac:dyDescent="0.55000000000000004">
      <c r="B195" s="31"/>
      <c r="C195" s="32"/>
      <c r="D195" s="33"/>
      <c r="E195" s="31"/>
      <c r="F195" s="32"/>
      <c r="G195" s="33"/>
      <c r="H195" s="31"/>
      <c r="I195" s="32"/>
      <c r="J195" s="33"/>
      <c r="K195" s="183"/>
      <c r="N195" s="60"/>
      <c r="P195" s="35"/>
    </row>
    <row r="196" spans="2:16" x14ac:dyDescent="0.55000000000000004">
      <c r="N196" s="60"/>
    </row>
  </sheetData>
  <mergeCells count="1">
    <mergeCell ref="N1:N4"/>
  </mergeCells>
  <dataValidations count="1">
    <dataValidation type="list" allowBlank="1" showInputMessage="1" showErrorMessage="1" sqref="N5" xr:uid="{FC5F6261-2AB3-47DF-8888-4C83D1482D13}">
      <formula1>$R$1:$R$2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D6C5F-E213-471A-9FE2-49547EAA5B8D}">
  <dimension ref="A1:P50"/>
  <sheetViews>
    <sheetView topLeftCell="A31" workbookViewId="0">
      <selection activeCell="F42" sqref="F42"/>
    </sheetView>
  </sheetViews>
  <sheetFormatPr defaultRowHeight="14.4" x14ac:dyDescent="0.55000000000000004"/>
  <cols>
    <col min="1" max="1" width="29.15625" style="77" bestFit="1" customWidth="1"/>
    <col min="2" max="2" width="14.26171875" style="77" customWidth="1"/>
    <col min="3" max="3" width="14.734375" style="77" bestFit="1" customWidth="1"/>
    <col min="4" max="4" width="31.9453125" style="77" bestFit="1" customWidth="1"/>
    <col min="5" max="5" width="12.3125" style="77" bestFit="1" customWidth="1"/>
    <col min="6" max="6" width="19.7890625" style="77" customWidth="1"/>
    <col min="7" max="7" width="13.734375" style="77" bestFit="1" customWidth="1"/>
    <col min="8" max="8" width="2.20703125" style="77" customWidth="1"/>
    <col min="9" max="9" width="9.734375" style="77" bestFit="1" customWidth="1"/>
    <col min="10" max="10" width="8.83984375" style="77"/>
    <col min="11" max="11" width="12.20703125" style="77" bestFit="1" customWidth="1"/>
    <col min="12" max="15" width="8.83984375" style="77"/>
    <col min="16" max="16" width="12.20703125" style="77" bestFit="1" customWidth="1"/>
    <col min="17" max="16384" width="8.83984375" style="77"/>
  </cols>
  <sheetData>
    <row r="1" spans="1:16" s="75" customFormat="1" x14ac:dyDescent="0.55000000000000004">
      <c r="A1" s="71" t="s">
        <v>130</v>
      </c>
      <c r="B1" s="72"/>
      <c r="C1" s="73" t="s">
        <v>228</v>
      </c>
      <c r="D1" s="74" t="s">
        <v>131</v>
      </c>
      <c r="E1" s="73" t="s">
        <v>229</v>
      </c>
      <c r="F1" s="180" t="s">
        <v>220</v>
      </c>
    </row>
    <row r="2" spans="1:16" x14ac:dyDescent="0.55000000000000004">
      <c r="A2" s="76" t="s">
        <v>132</v>
      </c>
      <c r="C2" s="78">
        <v>572683.12</v>
      </c>
      <c r="D2" s="79">
        <f>+'C.E. Contingency'!H73+'C.E. Contingency'!H101+'C.E. Contingency'!H102+'C.E. Contingency'!H103</f>
        <v>-175276.03636363635</v>
      </c>
      <c r="E2" s="92">
        <f>+C2+D2+D3</f>
        <v>747407.08363636362</v>
      </c>
    </row>
    <row r="3" spans="1:16" x14ac:dyDescent="0.55000000000000004">
      <c r="A3" s="76" t="s">
        <v>133</v>
      </c>
      <c r="C3" s="78"/>
      <c r="D3" s="80">
        <f>IF('C.E. Contingency'!$N$5="No",P3,I3)</f>
        <v>350000</v>
      </c>
      <c r="E3" s="92"/>
      <c r="F3" s="174">
        <f>-D3</f>
        <v>-350000</v>
      </c>
      <c r="G3" s="172" t="str">
        <f>+G6</f>
        <v>IMPORTANT</v>
      </c>
      <c r="I3" s="80">
        <v>150000</v>
      </c>
      <c r="J3" s="77" t="s">
        <v>196</v>
      </c>
      <c r="P3" s="121">
        <v>350000</v>
      </c>
    </row>
    <row r="4" spans="1:16" x14ac:dyDescent="0.55000000000000004">
      <c r="C4" s="78"/>
      <c r="D4" s="79"/>
      <c r="E4" s="92"/>
      <c r="F4" s="175"/>
      <c r="G4" s="173"/>
      <c r="I4" s="91"/>
    </row>
    <row r="5" spans="1:16" x14ac:dyDescent="0.55000000000000004">
      <c r="A5" s="76" t="s">
        <v>134</v>
      </c>
      <c r="C5" s="78">
        <v>6300273.303225806</v>
      </c>
      <c r="D5" s="79">
        <f>+'C.E. Contingency'!H99+'C.E. Contingency'!H100+'C.E. Contingency'!H104+'C.E. Contingency'!H45</f>
        <v>-614068.50909090915</v>
      </c>
      <c r="E5" s="92">
        <f>+C5+D5+D6</f>
        <v>6436204.7941348972</v>
      </c>
      <c r="F5" s="175"/>
      <c r="G5" s="173"/>
      <c r="I5" s="91"/>
    </row>
    <row r="6" spans="1:16" x14ac:dyDescent="0.55000000000000004">
      <c r="A6" s="76" t="s">
        <v>133</v>
      </c>
      <c r="C6" s="78"/>
      <c r="D6" s="80">
        <f>IF('C.E. Contingency'!$N$5="No",P6,I6)</f>
        <v>750000</v>
      </c>
      <c r="E6" s="92"/>
      <c r="F6" s="174">
        <f>-D6</f>
        <v>-750000</v>
      </c>
      <c r="G6" s="172" t="str">
        <f>+'C.E. Contingency'!L3</f>
        <v>IMPORTANT</v>
      </c>
      <c r="I6" s="80">
        <v>450000</v>
      </c>
      <c r="J6" s="77" t="s">
        <v>196</v>
      </c>
      <c r="P6" s="121">
        <v>750000</v>
      </c>
    </row>
    <row r="7" spans="1:16" x14ac:dyDescent="0.55000000000000004">
      <c r="C7" s="78"/>
      <c r="D7" s="79"/>
      <c r="E7" s="92"/>
      <c r="F7" s="175"/>
      <c r="G7" s="173"/>
    </row>
    <row r="8" spans="1:16" x14ac:dyDescent="0.55000000000000004">
      <c r="A8" s="76" t="s">
        <v>135</v>
      </c>
      <c r="C8" s="78">
        <v>452173.64864864864</v>
      </c>
      <c r="D8" s="79"/>
      <c r="E8" s="92">
        <f>+C8+D9</f>
        <v>552173.64864864864</v>
      </c>
      <c r="F8" s="175"/>
      <c r="G8" s="173"/>
    </row>
    <row r="9" spans="1:16" x14ac:dyDescent="0.55000000000000004">
      <c r="A9" s="76" t="s">
        <v>133</v>
      </c>
      <c r="C9" s="82"/>
      <c r="D9" s="80">
        <v>100000</v>
      </c>
      <c r="E9" s="92"/>
      <c r="F9" s="174">
        <f>-D9</f>
        <v>-100000</v>
      </c>
      <c r="G9" s="172" t="str">
        <f>+'C.E. Contingency'!L3</f>
        <v>IMPORTANT</v>
      </c>
    </row>
    <row r="10" spans="1:16" x14ac:dyDescent="0.55000000000000004">
      <c r="C10" s="79"/>
      <c r="D10" s="79"/>
      <c r="E10" s="92"/>
      <c r="F10" s="175"/>
    </row>
    <row r="11" spans="1:16" s="75" customFormat="1" x14ac:dyDescent="0.55000000000000004">
      <c r="A11" s="76" t="s">
        <v>136</v>
      </c>
      <c r="C11" s="78">
        <v>4208805.1282191789</v>
      </c>
      <c r="D11" s="78"/>
      <c r="E11" s="78">
        <f>+'C.E. Contingency'!H7/365*'S.P. Contingency'!D13+D12</f>
        <v>2715358.14723818</v>
      </c>
      <c r="F11" s="176">
        <f>+C11-E11</f>
        <v>1493446.9809809988</v>
      </c>
    </row>
    <row r="12" spans="1:16" s="75" customFormat="1" x14ac:dyDescent="0.55000000000000004">
      <c r="A12" s="76" t="s">
        <v>156</v>
      </c>
      <c r="C12" s="78"/>
      <c r="D12" s="94">
        <f>+'C.E. Contingency'!H76</f>
        <v>-360000</v>
      </c>
      <c r="E12" s="78"/>
      <c r="F12" s="177">
        <f>+D12</f>
        <v>-360000</v>
      </c>
      <c r="G12" s="90"/>
    </row>
    <row r="13" spans="1:16" ht="15.9" customHeight="1" x14ac:dyDescent="0.55000000000000004">
      <c r="A13" s="76" t="s">
        <v>137</v>
      </c>
      <c r="C13" s="79"/>
      <c r="D13" s="83">
        <v>99</v>
      </c>
      <c r="E13" s="93"/>
      <c r="F13" s="178"/>
    </row>
    <row r="14" spans="1:16" x14ac:dyDescent="0.55000000000000004">
      <c r="A14" s="76"/>
      <c r="C14" s="79"/>
      <c r="D14" s="79"/>
      <c r="E14" s="92"/>
      <c r="F14" s="178"/>
    </row>
    <row r="15" spans="1:16" s="75" customFormat="1" x14ac:dyDescent="0.55000000000000004">
      <c r="A15" s="76" t="s">
        <v>138</v>
      </c>
      <c r="C15" s="78">
        <v>2434514.2838709676</v>
      </c>
      <c r="D15" s="78"/>
      <c r="E15" s="78">
        <f>-(SUM('C.E. Contingency'!H27:H30,'C.E. Contingency'!H23:H24,'C.E. Contingency'!H14:H20)+'C.E. Contingency'!H52)/365*D16</f>
        <v>1852456.6806140838</v>
      </c>
      <c r="F15" s="176">
        <f>+C15-E15</f>
        <v>582057.6032568838</v>
      </c>
      <c r="G15" s="90"/>
    </row>
    <row r="16" spans="1:16" x14ac:dyDescent="0.55000000000000004">
      <c r="A16" s="76" t="s">
        <v>139</v>
      </c>
      <c r="C16" s="79"/>
      <c r="D16" s="83">
        <v>75</v>
      </c>
      <c r="E16" s="92"/>
      <c r="F16" s="178"/>
    </row>
    <row r="17" spans="1:7" x14ac:dyDescent="0.55000000000000004">
      <c r="A17" s="76"/>
      <c r="C17" s="79"/>
      <c r="D17" s="79"/>
      <c r="E17" s="92"/>
      <c r="F17" s="178"/>
    </row>
    <row r="18" spans="1:7" s="75" customFormat="1" x14ac:dyDescent="0.55000000000000004">
      <c r="A18" s="76" t="s">
        <v>140</v>
      </c>
      <c r="C18" s="78">
        <v>743020.29</v>
      </c>
      <c r="D18" s="78"/>
      <c r="E18" s="81">
        <v>500000</v>
      </c>
      <c r="F18" s="176">
        <f>+C18-E18</f>
        <v>243020.29000000004</v>
      </c>
      <c r="G18" s="90"/>
    </row>
    <row r="19" spans="1:7" s="75" customFormat="1" x14ac:dyDescent="0.55000000000000004">
      <c r="A19" s="76" t="s">
        <v>141</v>
      </c>
      <c r="C19" s="78">
        <v>400000</v>
      </c>
      <c r="D19" s="78"/>
      <c r="E19" s="81">
        <v>400000</v>
      </c>
      <c r="F19" s="176">
        <f t="shared" ref="F19:F22" si="0">+C19-E19</f>
        <v>0</v>
      </c>
      <c r="G19" s="90"/>
    </row>
    <row r="20" spans="1:7" s="75" customFormat="1" x14ac:dyDescent="0.55000000000000004">
      <c r="A20" s="76" t="s">
        <v>142</v>
      </c>
      <c r="C20" s="78">
        <v>167544.26</v>
      </c>
      <c r="E20" s="81">
        <v>150000</v>
      </c>
      <c r="F20" s="176">
        <f t="shared" si="0"/>
        <v>17544.260000000009</v>
      </c>
      <c r="G20" s="90"/>
    </row>
    <row r="21" spans="1:7" s="75" customFormat="1" x14ac:dyDescent="0.55000000000000004">
      <c r="A21" s="76"/>
      <c r="C21" s="84"/>
      <c r="E21" s="78"/>
      <c r="F21" s="176"/>
      <c r="G21" s="90"/>
    </row>
    <row r="22" spans="1:7" x14ac:dyDescent="0.55000000000000004">
      <c r="A22" s="76" t="s">
        <v>225</v>
      </c>
      <c r="C22" s="78">
        <v>433122</v>
      </c>
      <c r="E22" s="95"/>
      <c r="F22" s="176">
        <f t="shared" si="0"/>
        <v>433122</v>
      </c>
      <c r="G22" s="90"/>
    </row>
    <row r="23" spans="1:7" x14ac:dyDescent="0.55000000000000004">
      <c r="A23" s="75"/>
      <c r="C23" s="78"/>
      <c r="E23" s="93"/>
      <c r="F23" s="179"/>
      <c r="G23" s="90"/>
    </row>
    <row r="24" spans="1:7" x14ac:dyDescent="0.55000000000000004">
      <c r="A24" s="75" t="s">
        <v>226</v>
      </c>
      <c r="C24" s="78">
        <f>SUM(C2:C22)</f>
        <v>15712136.033964602</v>
      </c>
      <c r="D24" s="78"/>
      <c r="E24" s="78">
        <f t="shared" ref="E24" si="1">SUM(E2:E22)</f>
        <v>13353600.354272174</v>
      </c>
      <c r="F24" s="179"/>
    </row>
    <row r="25" spans="1:7" x14ac:dyDescent="0.55000000000000004">
      <c r="E25" s="93"/>
      <c r="F25" s="179"/>
    </row>
    <row r="26" spans="1:7" x14ac:dyDescent="0.55000000000000004">
      <c r="A26" s="71" t="s">
        <v>143</v>
      </c>
      <c r="B26" s="85"/>
      <c r="C26" s="73" t="str">
        <f>+C1</f>
        <v>31/12/19</v>
      </c>
      <c r="D26" s="74" t="str">
        <f>+D1</f>
        <v>DELTA 2020</v>
      </c>
      <c r="E26" s="73" t="str">
        <f>+E1</f>
        <v>31/12/20</v>
      </c>
      <c r="F26" s="179"/>
    </row>
    <row r="27" spans="1:7" x14ac:dyDescent="0.55000000000000004">
      <c r="F27" s="179"/>
    </row>
    <row r="28" spans="1:7" x14ac:dyDescent="0.55000000000000004">
      <c r="A28" s="77" t="s">
        <v>144</v>
      </c>
      <c r="C28" s="78">
        <v>2762509.7236363636</v>
      </c>
      <c r="E28" s="78">
        <f>-('C.E. Contingency'!H26+'C.E. Contingency'!H22+'C.E. Contingency'!H56+'C.E. Contingency'!H34)/365*D29</f>
        <v>1678180.6404395415</v>
      </c>
      <c r="F28" s="174">
        <f>+E28-C28</f>
        <v>-1084329.0831968221</v>
      </c>
      <c r="G28" s="97"/>
    </row>
    <row r="29" spans="1:7" x14ac:dyDescent="0.55000000000000004">
      <c r="A29" s="76" t="s">
        <v>145</v>
      </c>
      <c r="D29" s="86">
        <v>110</v>
      </c>
      <c r="F29" s="174"/>
    </row>
    <row r="30" spans="1:7" x14ac:dyDescent="0.55000000000000004">
      <c r="F30" s="174"/>
    </row>
    <row r="31" spans="1:7" x14ac:dyDescent="0.55000000000000004">
      <c r="A31" s="77" t="s">
        <v>146</v>
      </c>
      <c r="C31" s="78">
        <v>243335.61042932558</v>
      </c>
      <c r="D31" s="87">
        <v>0.01</v>
      </c>
      <c r="E31" s="78">
        <f>+'C.E. Contingency'!H10*D31</f>
        <v>155984.36565982408</v>
      </c>
      <c r="F31" s="174">
        <f t="shared" ref="F31:F37" si="2">+E31-C31</f>
        <v>-87351.2447695015</v>
      </c>
      <c r="G31" s="91"/>
    </row>
    <row r="32" spans="1:7" x14ac:dyDescent="0.55000000000000004">
      <c r="A32" s="77" t="s">
        <v>147</v>
      </c>
      <c r="C32" s="78">
        <v>74557.178640776692</v>
      </c>
      <c r="D32" s="88">
        <v>0.05</v>
      </c>
      <c r="E32" s="78">
        <f>-('C.E. Contingency'!H42-'C.E. Contingency'!H71-'C.E. Contingency'!H95)*'S.P. Contingency'!D32</f>
        <v>54535.383030303026</v>
      </c>
      <c r="F32" s="174">
        <f t="shared" si="2"/>
        <v>-20021.795610473666</v>
      </c>
      <c r="G32" s="91"/>
    </row>
    <row r="33" spans="1:7" x14ac:dyDescent="0.55000000000000004">
      <c r="A33" s="77" t="s">
        <v>148</v>
      </c>
      <c r="C33" s="78">
        <v>393974.82191780827</v>
      </c>
      <c r="D33" s="89"/>
      <c r="E33" s="78">
        <f>+C33/1.65</f>
        <v>238772.61934412623</v>
      </c>
      <c r="F33" s="174">
        <f t="shared" si="2"/>
        <v>-155202.20257368204</v>
      </c>
      <c r="G33" s="91"/>
    </row>
    <row r="34" spans="1:7" x14ac:dyDescent="0.55000000000000004">
      <c r="A34" s="77" t="s">
        <v>149</v>
      </c>
      <c r="C34" s="78">
        <v>131359.95483870967</v>
      </c>
      <c r="E34" s="78">
        <v>110000</v>
      </c>
      <c r="F34" s="174">
        <f t="shared" si="2"/>
        <v>-21359.954838709673</v>
      </c>
      <c r="G34" s="91"/>
    </row>
    <row r="35" spans="1:7" x14ac:dyDescent="0.55000000000000004">
      <c r="A35" s="76" t="s">
        <v>142</v>
      </c>
      <c r="C35" s="78">
        <v>2541.09</v>
      </c>
      <c r="E35" s="78">
        <f>+C35</f>
        <v>2541.09</v>
      </c>
      <c r="F35" s="179">
        <f t="shared" si="2"/>
        <v>0</v>
      </c>
      <c r="G35" s="91"/>
    </row>
    <row r="36" spans="1:7" x14ac:dyDescent="0.55000000000000004">
      <c r="C36" s="78"/>
      <c r="D36" s="126"/>
      <c r="E36" s="78"/>
      <c r="F36" s="179"/>
      <c r="G36" s="91"/>
    </row>
    <row r="37" spans="1:7" x14ac:dyDescent="0.55000000000000004">
      <c r="A37" s="77" t="s">
        <v>150</v>
      </c>
      <c r="C37" s="78">
        <v>95488.145695364234</v>
      </c>
      <c r="D37" s="78"/>
      <c r="E37" s="78">
        <f>C37+D37</f>
        <v>95488.145695364234</v>
      </c>
      <c r="F37" s="179">
        <f t="shared" si="2"/>
        <v>0</v>
      </c>
      <c r="G37" s="91"/>
    </row>
    <row r="38" spans="1:7" x14ac:dyDescent="0.55000000000000004">
      <c r="C38" s="78"/>
      <c r="F38" s="179"/>
    </row>
    <row r="39" spans="1:7" x14ac:dyDescent="0.55000000000000004">
      <c r="C39" s="78"/>
      <c r="D39" s="75" t="s">
        <v>212</v>
      </c>
      <c r="F39" s="179"/>
    </row>
    <row r="40" spans="1:7" x14ac:dyDescent="0.55000000000000004">
      <c r="A40" s="77" t="s">
        <v>151</v>
      </c>
      <c r="C40" s="78">
        <v>5172407.87</v>
      </c>
      <c r="D40" s="81">
        <f>-204000-399000-298000-0.75*F11</f>
        <v>-2021085.2357357491</v>
      </c>
      <c r="E40" s="78">
        <f>+C40+D40</f>
        <v>3151322.6342642512</v>
      </c>
      <c r="F40" s="174">
        <f>+E40-C40</f>
        <v>-2021085.2357357489</v>
      </c>
      <c r="G40" s="91"/>
    </row>
    <row r="41" spans="1:7" x14ac:dyDescent="0.55000000000000004">
      <c r="C41" s="78"/>
      <c r="F41" s="174"/>
    </row>
    <row r="42" spans="1:7" x14ac:dyDescent="0.55000000000000004">
      <c r="A42" s="77" t="s">
        <v>152</v>
      </c>
      <c r="C42" s="78">
        <v>198503.72600000072</v>
      </c>
      <c r="D42" s="171">
        <f>-C42</f>
        <v>-198503.72600000072</v>
      </c>
      <c r="E42" s="98">
        <f>-'C.E. Contingency'!H127</f>
        <v>-187841.01540699723</v>
      </c>
      <c r="F42" s="187">
        <f>+D42</f>
        <v>-198503.72600000072</v>
      </c>
      <c r="G42" s="91"/>
    </row>
    <row r="43" spans="1:7" x14ac:dyDescent="0.55000000000000004">
      <c r="C43" s="78"/>
    </row>
    <row r="44" spans="1:7" x14ac:dyDescent="0.55000000000000004">
      <c r="C44" s="78"/>
      <c r="D44" s="74" t="s">
        <v>153</v>
      </c>
    </row>
    <row r="45" spans="1:7" x14ac:dyDescent="0.55000000000000004">
      <c r="A45" s="76" t="s">
        <v>227</v>
      </c>
      <c r="C45" s="78">
        <v>6637457.9128062557</v>
      </c>
      <c r="D45" s="81">
        <v>0</v>
      </c>
      <c r="E45" s="90">
        <f>+C45+D45+D46</f>
        <v>6042628.0306840977</v>
      </c>
    </row>
    <row r="46" spans="1:7" x14ac:dyDescent="0.55000000000000004">
      <c r="A46" s="76" t="s">
        <v>157</v>
      </c>
      <c r="C46" s="78"/>
      <c r="D46" s="81">
        <f>+'C.E. Contingency'!H129</f>
        <v>-594829.88212215784</v>
      </c>
      <c r="E46" s="90"/>
    </row>
    <row r="48" spans="1:7" x14ac:dyDescent="0.55000000000000004">
      <c r="A48" s="75" t="s">
        <v>154</v>
      </c>
      <c r="C48" s="78">
        <f>SUM(C28:C45)</f>
        <v>15712136.033964602</v>
      </c>
      <c r="D48" s="78"/>
      <c r="E48" s="78">
        <f t="shared" ref="E48" si="3">SUM(E28:E45)</f>
        <v>11341611.893710511</v>
      </c>
      <c r="F48" s="181">
        <f>SUM(F3:F47)</f>
        <v>-2378662.1084870561</v>
      </c>
      <c r="G48" s="93" t="s">
        <v>221</v>
      </c>
    </row>
    <row r="50" spans="1:5" s="93" customFormat="1" x14ac:dyDescent="0.55000000000000004">
      <c r="A50" s="75" t="s">
        <v>155</v>
      </c>
      <c r="C50" s="98">
        <f>+C24-C48</f>
        <v>0</v>
      </c>
      <c r="D50" s="98"/>
      <c r="E50" s="117">
        <f>+E48-E24</f>
        <v>-2011988.4605616629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A509-A77F-4B09-B34D-99B7EA6697F8}">
  <dimension ref="A1:E36"/>
  <sheetViews>
    <sheetView zoomScaleNormal="100" workbookViewId="0">
      <selection activeCell="C7" sqref="C7"/>
    </sheetView>
  </sheetViews>
  <sheetFormatPr defaultRowHeight="14.4" x14ac:dyDescent="0.55000000000000004"/>
  <cols>
    <col min="1" max="1" width="34.20703125" style="77" bestFit="1" customWidth="1"/>
    <col min="2" max="2" width="13.734375" style="99" bestFit="1" customWidth="1"/>
    <col min="3" max="3" width="11.20703125" style="77" bestFit="1" customWidth="1"/>
    <col min="4" max="4" width="11.3125" style="77" bestFit="1" customWidth="1"/>
    <col min="5" max="16384" width="8.83984375" style="77"/>
  </cols>
  <sheetData>
    <row r="1" spans="1:5" x14ac:dyDescent="0.55000000000000004">
      <c r="A1" s="106" t="s">
        <v>184</v>
      </c>
      <c r="B1" s="107"/>
    </row>
    <row r="2" spans="1:5" x14ac:dyDescent="0.55000000000000004">
      <c r="B2" s="105">
        <v>2020</v>
      </c>
    </row>
    <row r="3" spans="1:5" x14ac:dyDescent="0.55000000000000004">
      <c r="A3" s="108" t="s">
        <v>183</v>
      </c>
      <c r="B3" s="109">
        <f>+'C.E. Contingency'!H110-'C.E. Contingency'!H98-'C.E. Contingency'!H73-'C.E. Contingency'!H45-'C.E. Contingency'!H75</f>
        <v>477885.7691375115</v>
      </c>
    </row>
    <row r="4" spans="1:5" x14ac:dyDescent="0.55000000000000004">
      <c r="A4" s="110" t="s">
        <v>158</v>
      </c>
      <c r="B4" s="109">
        <f>+'S.P. Contingency'!C11+'S.P. Contingency'!C15+'S.P. Contingency'!C18+'S.P. Contingency'!C19+'S.P. Contingency'!C20-'S.P. Contingency'!C28-'S.P. Contingency'!C31-'S.P. Contingency'!C32-'S.P. Contingency'!C33-'S.P. Contingency'!C34-'S.P. Contingency'!C35-'S.P. Contingency'!C37</f>
        <v>4250117.4369317992</v>
      </c>
      <c r="C4" s="101"/>
    </row>
    <row r="5" spans="1:5" x14ac:dyDescent="0.55000000000000004">
      <c r="A5" s="110" t="s">
        <v>159</v>
      </c>
      <c r="B5" s="109">
        <f>+'S.P. Contingency'!E11+'S.P. Contingency'!E15+'S.P. Contingency'!E18+'S.P. Contingency'!E19+'S.P. Contingency'!E20-'S.P. Contingency'!E28-'S.P. Contingency'!E31-'S.P. Contingency'!E32-'S.P. Contingency'!E33-'S.P. Contingency'!E34-'S.P. Contingency'!E35-'S.P. Contingency'!E37</f>
        <v>3282312.5836831052</v>
      </c>
    </row>
    <row r="6" spans="1:5" x14ac:dyDescent="0.55000000000000004">
      <c r="A6" s="111" t="s">
        <v>160</v>
      </c>
      <c r="B6" s="112">
        <f>+B4-B5</f>
        <v>967804.85324869398</v>
      </c>
    </row>
    <row r="7" spans="1:5" x14ac:dyDescent="0.55000000000000004">
      <c r="A7" s="111" t="s">
        <v>161</v>
      </c>
      <c r="B7" s="112">
        <f>+B3+B6</f>
        <v>1445690.6223862055</v>
      </c>
      <c r="C7" s="91"/>
    </row>
    <row r="9" spans="1:5" x14ac:dyDescent="0.55000000000000004">
      <c r="A9" s="110" t="s">
        <v>162</v>
      </c>
      <c r="B9" s="109">
        <f>+'S.P. Contingency'!D2+'S.P. Contingency'!D5</f>
        <v>-789344.54545454553</v>
      </c>
    </row>
    <row r="10" spans="1:5" x14ac:dyDescent="0.55000000000000004">
      <c r="A10" s="110" t="s">
        <v>163</v>
      </c>
      <c r="B10" s="109">
        <f>+'S.P. Contingency'!C2+'S.P. Contingency'!C5+'S.P. Contingency'!C8</f>
        <v>7325130.0718744546</v>
      </c>
      <c r="C10" s="101"/>
      <c r="E10" s="101"/>
    </row>
    <row r="11" spans="1:5" x14ac:dyDescent="0.55000000000000004">
      <c r="A11" s="110" t="s">
        <v>164</v>
      </c>
      <c r="B11" s="109">
        <f>+'S.P. Contingency'!E2+'S.P. Contingency'!E5+'S.P. Contingency'!E8</f>
        <v>7735785.5264199097</v>
      </c>
    </row>
    <row r="12" spans="1:5" x14ac:dyDescent="0.55000000000000004">
      <c r="A12" s="110" t="s">
        <v>165</v>
      </c>
      <c r="B12" s="109">
        <f>+B10-B11</f>
        <v>-410655.45454545505</v>
      </c>
    </row>
    <row r="13" spans="1:5" x14ac:dyDescent="0.55000000000000004">
      <c r="A13" s="111" t="s">
        <v>166</v>
      </c>
      <c r="B13" s="112">
        <f>+B9+B12</f>
        <v>-1200000.0000000005</v>
      </c>
    </row>
    <row r="14" spans="1:5" x14ac:dyDescent="0.55000000000000004">
      <c r="B14" s="101"/>
    </row>
    <row r="15" spans="1:5" x14ac:dyDescent="0.55000000000000004">
      <c r="A15" s="110" t="s">
        <v>167</v>
      </c>
      <c r="B15" s="109">
        <f>+'C.E. Contingency'!H112</f>
        <v>-47243.636363636368</v>
      </c>
    </row>
    <row r="16" spans="1:5" x14ac:dyDescent="0.55000000000000004">
      <c r="A16" s="110" t="s">
        <v>168</v>
      </c>
      <c r="B16" s="109">
        <f>+'S.P. Contingency'!C40-'S.P. Contingency'!C22</f>
        <v>4739285.87</v>
      </c>
      <c r="C16" s="101"/>
    </row>
    <row r="17" spans="1:2" x14ac:dyDescent="0.55000000000000004">
      <c r="A17" s="110" t="s">
        <v>169</v>
      </c>
      <c r="B17" s="109">
        <f>+'S.P. Contingency'!E40-'S.P. Contingency'!E22</f>
        <v>3151322.6342642512</v>
      </c>
    </row>
    <row r="18" spans="1:2" x14ac:dyDescent="0.55000000000000004">
      <c r="A18" s="110" t="s">
        <v>170</v>
      </c>
      <c r="B18" s="113">
        <f>+B17-B16</f>
        <v>-1587963.2357357489</v>
      </c>
    </row>
    <row r="19" spans="1:2" x14ac:dyDescent="0.55000000000000004">
      <c r="A19" s="111" t="s">
        <v>171</v>
      </c>
      <c r="B19" s="112">
        <f>+B18+B15</f>
        <v>-1635206.8720993854</v>
      </c>
    </row>
    <row r="21" spans="1:2" x14ac:dyDescent="0.55000000000000004">
      <c r="A21" s="111" t="s">
        <v>172</v>
      </c>
      <c r="B21" s="112">
        <f>+'C.E. Contingency'!H116</f>
        <v>-63968.484848484855</v>
      </c>
    </row>
    <row r="22" spans="1:2" x14ac:dyDescent="0.55000000000000004">
      <c r="A22" s="111" t="s">
        <v>185</v>
      </c>
      <c r="B22" s="112">
        <f>+'C.E. Contingency'!H75</f>
        <v>-360000</v>
      </c>
    </row>
    <row r="24" spans="1:2" x14ac:dyDescent="0.55000000000000004">
      <c r="A24" s="110" t="s">
        <v>173</v>
      </c>
      <c r="B24" s="109">
        <f>+'C.E. Contingency'!H127</f>
        <v>187841.01540699723</v>
      </c>
    </row>
    <row r="25" spans="1:2" x14ac:dyDescent="0.55000000000000004">
      <c r="A25" s="110" t="s">
        <v>174</v>
      </c>
      <c r="B25" s="109">
        <f>+'S.P. Contingency'!C42</f>
        <v>198503.72600000072</v>
      </c>
    </row>
    <row r="26" spans="1:2" x14ac:dyDescent="0.55000000000000004">
      <c r="A26" s="110" t="s">
        <v>175</v>
      </c>
      <c r="B26" s="109">
        <f>+'S.P. Contingency'!E42</f>
        <v>-187841.01540699723</v>
      </c>
    </row>
    <row r="27" spans="1:2" x14ac:dyDescent="0.55000000000000004">
      <c r="A27" s="110" t="s">
        <v>176</v>
      </c>
      <c r="B27" s="109">
        <f>+B26-B25</f>
        <v>-386344.74140699796</v>
      </c>
    </row>
    <row r="28" spans="1:2" x14ac:dyDescent="0.55000000000000004">
      <c r="A28" s="111" t="s">
        <v>177</v>
      </c>
      <c r="B28" s="112">
        <f>+B27+B24</f>
        <v>-198503.72600000072</v>
      </c>
    </row>
    <row r="29" spans="1:2" x14ac:dyDescent="0.55000000000000004">
      <c r="A29" s="93"/>
      <c r="B29" s="101"/>
    </row>
    <row r="30" spans="1:2" x14ac:dyDescent="0.55000000000000004">
      <c r="A30" s="110" t="s">
        <v>178</v>
      </c>
      <c r="B30" s="113">
        <f>+B3+B9+B15+B22+B24+B21</f>
        <v>-594829.88212215807</v>
      </c>
    </row>
    <row r="31" spans="1:2" x14ac:dyDescent="0.55000000000000004">
      <c r="A31" s="110" t="s">
        <v>179</v>
      </c>
      <c r="B31" s="113">
        <f>+B4+B10-B16-B25</f>
        <v>6637457.9128062539</v>
      </c>
    </row>
    <row r="32" spans="1:2" x14ac:dyDescent="0.55000000000000004">
      <c r="A32" s="110" t="s">
        <v>180</v>
      </c>
      <c r="B32" s="113">
        <f>+'S.P. Contingency'!E45</f>
        <v>6042628.0306840977</v>
      </c>
    </row>
    <row r="33" spans="1:2" x14ac:dyDescent="0.55000000000000004">
      <c r="A33" s="110" t="s">
        <v>181</v>
      </c>
      <c r="B33" s="113">
        <f>+B32-B31</f>
        <v>-594829.88212215621</v>
      </c>
    </row>
    <row r="34" spans="1:2" x14ac:dyDescent="0.55000000000000004">
      <c r="A34" s="111" t="s">
        <v>182</v>
      </c>
      <c r="B34" s="112">
        <f>+B33-B30</f>
        <v>1.862645149230957E-9</v>
      </c>
    </row>
    <row r="36" spans="1:2" x14ac:dyDescent="0.55000000000000004">
      <c r="A36" s="77" t="s">
        <v>155</v>
      </c>
      <c r="B36" s="100">
        <f>+B7+B13+B19+B22+B28+B34+B21</f>
        <v>-2011988.4605616641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A9A33-46C8-4865-ADE1-53CAFD13B235}">
  <dimension ref="A1:L81"/>
  <sheetViews>
    <sheetView zoomScale="110" zoomScaleNormal="110" workbookViewId="0">
      <selection activeCell="G34" sqref="G34"/>
    </sheetView>
  </sheetViews>
  <sheetFormatPr defaultRowHeight="14.4" x14ac:dyDescent="0.55000000000000004"/>
  <cols>
    <col min="1" max="1" width="19.62890625" style="77" bestFit="1" customWidth="1"/>
    <col min="2" max="2" width="12.20703125" style="79" bestFit="1" customWidth="1"/>
    <col min="3" max="3" width="12.7890625" style="77" bestFit="1" customWidth="1"/>
    <col min="4" max="4" width="12.41796875" style="77" bestFit="1" customWidth="1"/>
    <col min="5" max="5" width="12.68359375" style="77" bestFit="1" customWidth="1"/>
    <col min="6" max="6" width="3.62890625" style="77" customWidth="1"/>
    <col min="7" max="7" width="16.15625" style="77" customWidth="1"/>
    <col min="8" max="8" width="8.83984375" style="77"/>
    <col min="9" max="9" width="9.7890625" style="77" bestFit="1" customWidth="1"/>
    <col min="10" max="10" width="2.68359375" style="77" customWidth="1"/>
    <col min="11" max="11" width="25.20703125" style="77" bestFit="1" customWidth="1"/>
    <col min="12" max="12" width="12.3125" style="77" bestFit="1" customWidth="1"/>
    <col min="13" max="16384" width="8.83984375" style="77"/>
  </cols>
  <sheetData>
    <row r="1" spans="1:5" x14ac:dyDescent="0.55000000000000004">
      <c r="A1" s="77" t="s">
        <v>200</v>
      </c>
      <c r="B1" s="79">
        <f>-'Cash Flow'!B36</f>
        <v>2011988.4605616641</v>
      </c>
    </row>
    <row r="2" spans="1:5" s="93" customFormat="1" x14ac:dyDescent="0.55000000000000004">
      <c r="A2" s="93" t="s">
        <v>201</v>
      </c>
      <c r="B2" s="92">
        <f>+_xlfn.CEILING.MATH(B1,100000)</f>
        <v>2100000</v>
      </c>
    </row>
    <row r="4" spans="1:5" x14ac:dyDescent="0.55000000000000004">
      <c r="A4" s="77" t="s">
        <v>202</v>
      </c>
    </row>
    <row r="5" spans="1:5" x14ac:dyDescent="0.55000000000000004">
      <c r="A5" s="77">
        <v>12</v>
      </c>
      <c r="B5" s="79" t="s">
        <v>204</v>
      </c>
    </row>
    <row r="6" spans="1:5" x14ac:dyDescent="0.55000000000000004">
      <c r="A6" s="77">
        <v>60</v>
      </c>
      <c r="B6" s="79" t="s">
        <v>205</v>
      </c>
    </row>
    <row r="7" spans="1:5" x14ac:dyDescent="0.55000000000000004">
      <c r="A7" s="122">
        <v>0.03</v>
      </c>
      <c r="B7" s="77" t="s">
        <v>203</v>
      </c>
    </row>
    <row r="9" spans="1:5" x14ac:dyDescent="0.55000000000000004">
      <c r="A9" s="77" t="s">
        <v>206</v>
      </c>
      <c r="B9" s="123" t="s">
        <v>207</v>
      </c>
      <c r="C9" s="99" t="s">
        <v>209</v>
      </c>
      <c r="D9" s="99" t="s">
        <v>210</v>
      </c>
      <c r="E9" s="99" t="s">
        <v>208</v>
      </c>
    </row>
    <row r="10" spans="1:5" x14ac:dyDescent="0.55000000000000004">
      <c r="A10" s="77">
        <v>1</v>
      </c>
      <c r="B10" s="79">
        <f>+C10</f>
        <v>5250</v>
      </c>
      <c r="C10" s="91">
        <f>+A7*B2/12</f>
        <v>5250</v>
      </c>
      <c r="D10" s="77">
        <v>0</v>
      </c>
      <c r="E10" s="91">
        <f>+B2-D10</f>
        <v>2100000</v>
      </c>
    </row>
    <row r="11" spans="1:5" x14ac:dyDescent="0.55000000000000004">
      <c r="A11" s="77">
        <v>2</v>
      </c>
      <c r="B11" s="79">
        <f t="shared" ref="B11:B21" si="0">+C11</f>
        <v>5250</v>
      </c>
      <c r="C11" s="91">
        <f>+C10</f>
        <v>5250</v>
      </c>
      <c r="D11" s="77">
        <v>0</v>
      </c>
      <c r="E11" s="91">
        <f>+E10-D11</f>
        <v>2100000</v>
      </c>
    </row>
    <row r="12" spans="1:5" x14ac:dyDescent="0.55000000000000004">
      <c r="A12" s="77">
        <v>3</v>
      </c>
      <c r="B12" s="79">
        <f t="shared" si="0"/>
        <v>5250</v>
      </c>
      <c r="C12" s="91">
        <f t="shared" ref="C12:C21" si="1">+C11</f>
        <v>5250</v>
      </c>
      <c r="D12" s="77">
        <v>0</v>
      </c>
      <c r="E12" s="91">
        <f t="shared" ref="E12:E22" si="2">+E11-D12</f>
        <v>2100000</v>
      </c>
    </row>
    <row r="13" spans="1:5" x14ac:dyDescent="0.55000000000000004">
      <c r="A13" s="77">
        <v>4</v>
      </c>
      <c r="B13" s="79">
        <f t="shared" si="0"/>
        <v>5250</v>
      </c>
      <c r="C13" s="91">
        <f t="shared" si="1"/>
        <v>5250</v>
      </c>
      <c r="D13" s="77">
        <v>0</v>
      </c>
      <c r="E13" s="91">
        <f t="shared" si="2"/>
        <v>2100000</v>
      </c>
    </row>
    <row r="14" spans="1:5" x14ac:dyDescent="0.55000000000000004">
      <c r="A14" s="77">
        <v>5</v>
      </c>
      <c r="B14" s="79">
        <f t="shared" si="0"/>
        <v>5250</v>
      </c>
      <c r="C14" s="91">
        <f t="shared" si="1"/>
        <v>5250</v>
      </c>
      <c r="D14" s="77">
        <v>0</v>
      </c>
      <c r="E14" s="91">
        <f t="shared" si="2"/>
        <v>2100000</v>
      </c>
    </row>
    <row r="15" spans="1:5" x14ac:dyDescent="0.55000000000000004">
      <c r="A15" s="77">
        <v>6</v>
      </c>
      <c r="B15" s="79">
        <f t="shared" si="0"/>
        <v>5250</v>
      </c>
      <c r="C15" s="91">
        <f t="shared" si="1"/>
        <v>5250</v>
      </c>
      <c r="D15" s="77">
        <v>0</v>
      </c>
      <c r="E15" s="91">
        <f t="shared" si="2"/>
        <v>2100000</v>
      </c>
    </row>
    <row r="16" spans="1:5" x14ac:dyDescent="0.55000000000000004">
      <c r="A16" s="77">
        <v>7</v>
      </c>
      <c r="B16" s="79">
        <f t="shared" si="0"/>
        <v>5250</v>
      </c>
      <c r="C16" s="91">
        <f t="shared" si="1"/>
        <v>5250</v>
      </c>
      <c r="D16" s="77">
        <v>0</v>
      </c>
      <c r="E16" s="91">
        <f t="shared" si="2"/>
        <v>2100000</v>
      </c>
    </row>
    <row r="17" spans="1:12" x14ac:dyDescent="0.55000000000000004">
      <c r="A17" s="77">
        <v>8</v>
      </c>
      <c r="B17" s="79">
        <f t="shared" si="0"/>
        <v>5250</v>
      </c>
      <c r="C17" s="91">
        <f t="shared" si="1"/>
        <v>5250</v>
      </c>
      <c r="D17" s="77">
        <v>0</v>
      </c>
      <c r="E17" s="91">
        <f t="shared" si="2"/>
        <v>2100000</v>
      </c>
    </row>
    <row r="18" spans="1:12" x14ac:dyDescent="0.55000000000000004">
      <c r="A18" s="77">
        <v>9</v>
      </c>
      <c r="B18" s="79">
        <f t="shared" si="0"/>
        <v>5250</v>
      </c>
      <c r="C18" s="91">
        <f t="shared" si="1"/>
        <v>5250</v>
      </c>
      <c r="D18" s="77">
        <v>0</v>
      </c>
      <c r="E18" s="91">
        <f t="shared" si="2"/>
        <v>2100000</v>
      </c>
    </row>
    <row r="19" spans="1:12" x14ac:dyDescent="0.55000000000000004">
      <c r="A19" s="77">
        <v>10</v>
      </c>
      <c r="B19" s="79">
        <f t="shared" si="0"/>
        <v>5250</v>
      </c>
      <c r="C19" s="91">
        <f t="shared" si="1"/>
        <v>5250</v>
      </c>
      <c r="D19" s="77">
        <v>0</v>
      </c>
      <c r="E19" s="91">
        <f t="shared" si="2"/>
        <v>2100000</v>
      </c>
    </row>
    <row r="20" spans="1:12" x14ac:dyDescent="0.55000000000000004">
      <c r="A20" s="77">
        <v>11</v>
      </c>
      <c r="B20" s="79">
        <f t="shared" si="0"/>
        <v>5250</v>
      </c>
      <c r="C20" s="91">
        <f t="shared" si="1"/>
        <v>5250</v>
      </c>
      <c r="D20" s="77">
        <v>0</v>
      </c>
      <c r="E20" s="91">
        <f t="shared" si="2"/>
        <v>2100000</v>
      </c>
    </row>
    <row r="21" spans="1:12" s="93" customFormat="1" x14ac:dyDescent="0.55000000000000004">
      <c r="A21" s="93">
        <v>12</v>
      </c>
      <c r="B21" s="92">
        <f t="shared" si="0"/>
        <v>5250</v>
      </c>
      <c r="C21" s="98">
        <f t="shared" si="1"/>
        <v>5250</v>
      </c>
      <c r="D21" s="93">
        <v>0</v>
      </c>
      <c r="E21" s="98">
        <f t="shared" si="2"/>
        <v>2100000</v>
      </c>
      <c r="G21" s="127" t="s">
        <v>216</v>
      </c>
      <c r="H21" s="127"/>
      <c r="I21" s="128">
        <f>+SUM(B10:B21)</f>
        <v>63000</v>
      </c>
      <c r="K21" s="124" t="s">
        <v>211</v>
      </c>
      <c r="L21" s="125" t="e">
        <f>+I21/'C.E. Contingency'!H143</f>
        <v>#DIV/0!</v>
      </c>
    </row>
    <row r="22" spans="1:12" x14ac:dyDescent="0.55000000000000004">
      <c r="A22" s="77">
        <v>13</v>
      </c>
      <c r="B22" s="79">
        <f>-PMT($A$7/12,$A$6,$B$2)</f>
        <v>37734.250394532595</v>
      </c>
      <c r="C22" s="91">
        <f>-IPMT($A$7/12,A22-12,$A$6,$B$2)</f>
        <v>5250</v>
      </c>
      <c r="D22" s="91">
        <f>+B22-C22</f>
        <v>32484.250394532595</v>
      </c>
      <c r="E22" s="91">
        <f t="shared" si="2"/>
        <v>2067515.7496054673</v>
      </c>
      <c r="L22" s="91"/>
    </row>
    <row r="23" spans="1:12" x14ac:dyDescent="0.55000000000000004">
      <c r="A23" s="77">
        <v>14</v>
      </c>
      <c r="B23" s="79">
        <f t="shared" ref="B23:B81" si="3">-PMT($A$7/12,$A$6,$B$2)</f>
        <v>37734.250394532595</v>
      </c>
      <c r="C23" s="91">
        <f t="shared" ref="C23:C31" si="4">-IPMT($A$7/12,A23-12,$A$6,$B$2)</f>
        <v>5168.7893740136697</v>
      </c>
      <c r="D23" s="91">
        <f t="shared" ref="D23:D31" si="5">+B23-C23</f>
        <v>32565.461020518924</v>
      </c>
      <c r="E23" s="91">
        <f t="shared" ref="E23:E31" si="6">+E22-D23</f>
        <v>2034950.2885849483</v>
      </c>
      <c r="L23" s="91"/>
    </row>
    <row r="24" spans="1:12" x14ac:dyDescent="0.55000000000000004">
      <c r="A24" s="77">
        <v>15</v>
      </c>
      <c r="B24" s="79">
        <f t="shared" si="3"/>
        <v>37734.250394532595</v>
      </c>
      <c r="C24" s="91">
        <f t="shared" si="4"/>
        <v>5087.375721462372</v>
      </c>
      <c r="D24" s="91">
        <f t="shared" si="5"/>
        <v>32646.874673070222</v>
      </c>
      <c r="E24" s="91">
        <f t="shared" si="6"/>
        <v>2002303.4139118781</v>
      </c>
      <c r="L24" s="91"/>
    </row>
    <row r="25" spans="1:12" x14ac:dyDescent="0.55000000000000004">
      <c r="A25" s="77">
        <v>16</v>
      </c>
      <c r="B25" s="79">
        <f t="shared" si="3"/>
        <v>37734.250394532595</v>
      </c>
      <c r="C25" s="91">
        <f t="shared" si="4"/>
        <v>5005.7585347796958</v>
      </c>
      <c r="D25" s="91">
        <f t="shared" si="5"/>
        <v>32728.491859752899</v>
      </c>
      <c r="E25" s="91">
        <f t="shared" si="6"/>
        <v>1969574.9220521252</v>
      </c>
      <c r="L25" s="91"/>
    </row>
    <row r="26" spans="1:12" x14ac:dyDescent="0.55000000000000004">
      <c r="A26" s="77">
        <v>17</v>
      </c>
      <c r="B26" s="79">
        <f t="shared" si="3"/>
        <v>37734.250394532595</v>
      </c>
      <c r="C26" s="91">
        <f t="shared" si="4"/>
        <v>4923.9373051303137</v>
      </c>
      <c r="D26" s="91">
        <f t="shared" si="5"/>
        <v>32810.313089402283</v>
      </c>
      <c r="E26" s="91">
        <f t="shared" si="6"/>
        <v>1936764.6089627228</v>
      </c>
      <c r="L26" s="91"/>
    </row>
    <row r="27" spans="1:12" x14ac:dyDescent="0.55000000000000004">
      <c r="A27" s="77">
        <v>18</v>
      </c>
      <c r="B27" s="79">
        <f t="shared" si="3"/>
        <v>37734.250394532595</v>
      </c>
      <c r="C27" s="91">
        <f t="shared" si="4"/>
        <v>4841.9115224068073</v>
      </c>
      <c r="D27" s="91">
        <f t="shared" si="5"/>
        <v>32892.338872125787</v>
      </c>
      <c r="E27" s="91">
        <f t="shared" si="6"/>
        <v>1903872.270090597</v>
      </c>
      <c r="L27" s="91"/>
    </row>
    <row r="28" spans="1:12" x14ac:dyDescent="0.55000000000000004">
      <c r="A28" s="77">
        <v>19</v>
      </c>
      <c r="B28" s="79">
        <f t="shared" si="3"/>
        <v>37734.250394532595</v>
      </c>
      <c r="C28" s="91">
        <f t="shared" si="4"/>
        <v>4759.6806752264947</v>
      </c>
      <c r="D28" s="91">
        <f t="shared" si="5"/>
        <v>32974.569719306099</v>
      </c>
      <c r="E28" s="91">
        <f t="shared" si="6"/>
        <v>1870897.7003712908</v>
      </c>
      <c r="L28" s="91"/>
    </row>
    <row r="29" spans="1:12" x14ac:dyDescent="0.55000000000000004">
      <c r="A29" s="77">
        <v>20</v>
      </c>
      <c r="B29" s="79">
        <f t="shared" si="3"/>
        <v>37734.250394532595</v>
      </c>
      <c r="C29" s="91">
        <f t="shared" si="4"/>
        <v>4677.2442509282291</v>
      </c>
      <c r="D29" s="91">
        <f t="shared" si="5"/>
        <v>33057.006143604369</v>
      </c>
      <c r="E29" s="91">
        <f t="shared" si="6"/>
        <v>1837840.6942276864</v>
      </c>
      <c r="L29" s="91"/>
    </row>
    <row r="30" spans="1:12" x14ac:dyDescent="0.55000000000000004">
      <c r="A30" s="77">
        <v>21</v>
      </c>
      <c r="B30" s="79">
        <f t="shared" si="3"/>
        <v>37734.250394532595</v>
      </c>
      <c r="C30" s="91">
        <f t="shared" si="4"/>
        <v>4594.6017355692175</v>
      </c>
      <c r="D30" s="91">
        <f t="shared" si="5"/>
        <v>33139.648658963379</v>
      </c>
      <c r="E30" s="91">
        <f t="shared" si="6"/>
        <v>1804701.045568723</v>
      </c>
      <c r="L30" s="91"/>
    </row>
    <row r="31" spans="1:12" x14ac:dyDescent="0.55000000000000004">
      <c r="A31" s="77">
        <v>22</v>
      </c>
      <c r="B31" s="79">
        <f t="shared" si="3"/>
        <v>37734.250394532595</v>
      </c>
      <c r="C31" s="91">
        <f t="shared" si="4"/>
        <v>4511.7526139218089</v>
      </c>
      <c r="D31" s="91">
        <f t="shared" si="5"/>
        <v>33222.497780610785</v>
      </c>
      <c r="E31" s="91">
        <f t="shared" si="6"/>
        <v>1771478.5477881122</v>
      </c>
      <c r="L31" s="91"/>
    </row>
    <row r="32" spans="1:12" x14ac:dyDescent="0.55000000000000004">
      <c r="A32" s="77">
        <v>23</v>
      </c>
      <c r="B32" s="79">
        <f t="shared" si="3"/>
        <v>37734.250394532595</v>
      </c>
      <c r="C32" s="91">
        <f t="shared" ref="C32:C81" si="7">-IPMT($A$7/12,A32-12,$A$6,$B$2)</f>
        <v>4428.6963694702818</v>
      </c>
      <c r="D32" s="91">
        <f t="shared" ref="D32:D81" si="8">+B32-C32</f>
        <v>33305.554025062316</v>
      </c>
      <c r="E32" s="91">
        <f t="shared" ref="E32:E81" si="9">+E31-D32</f>
        <v>1738172.9937630498</v>
      </c>
      <c r="L32" s="91"/>
    </row>
    <row r="33" spans="1:12" s="93" customFormat="1" x14ac:dyDescent="0.55000000000000004">
      <c r="A33" s="93">
        <v>24</v>
      </c>
      <c r="B33" s="92">
        <f t="shared" si="3"/>
        <v>37734.250394532595</v>
      </c>
      <c r="C33" s="98">
        <f t="shared" si="7"/>
        <v>4345.4324844076264</v>
      </c>
      <c r="D33" s="98">
        <f t="shared" si="8"/>
        <v>33388.81791012497</v>
      </c>
      <c r="E33" s="98">
        <f t="shared" si="9"/>
        <v>1704784.1758529248</v>
      </c>
      <c r="G33" s="127" t="s">
        <v>217</v>
      </c>
      <c r="H33" s="127"/>
      <c r="I33" s="128">
        <f>+SUM(B22:B33)</f>
        <v>452811.00473439106</v>
      </c>
      <c r="K33" s="124" t="s">
        <v>211</v>
      </c>
      <c r="L33" s="125" t="e">
        <f>+I33/'C.E. Contingency'!H143</f>
        <v>#DIV/0!</v>
      </c>
    </row>
    <row r="34" spans="1:12" x14ac:dyDescent="0.55000000000000004">
      <c r="A34" s="77">
        <v>25</v>
      </c>
      <c r="B34" s="79">
        <f t="shared" si="3"/>
        <v>37734.250394532595</v>
      </c>
      <c r="C34" s="91">
        <f t="shared" si="7"/>
        <v>4261.9604396323139</v>
      </c>
      <c r="D34" s="91">
        <f t="shared" si="8"/>
        <v>33472.289954900283</v>
      </c>
      <c r="E34" s="91">
        <f t="shared" si="9"/>
        <v>1671311.8858980245</v>
      </c>
    </row>
    <row r="35" spans="1:12" x14ac:dyDescent="0.55000000000000004">
      <c r="A35" s="77">
        <v>26</v>
      </c>
      <c r="B35" s="79">
        <f t="shared" si="3"/>
        <v>37734.250394532595</v>
      </c>
      <c r="C35" s="91">
        <f t="shared" si="7"/>
        <v>4178.2797147450628</v>
      </c>
      <c r="D35" s="91">
        <f t="shared" si="8"/>
        <v>33555.970679787533</v>
      </c>
      <c r="E35" s="91">
        <f t="shared" si="9"/>
        <v>1637755.9152182371</v>
      </c>
    </row>
    <row r="36" spans="1:12" x14ac:dyDescent="0.55000000000000004">
      <c r="A36" s="77">
        <v>27</v>
      </c>
      <c r="B36" s="79">
        <f t="shared" si="3"/>
        <v>37734.250394532595</v>
      </c>
      <c r="C36" s="91">
        <f t="shared" si="7"/>
        <v>4094.3897880455947</v>
      </c>
      <c r="D36" s="91">
        <f t="shared" si="8"/>
        <v>33639.860606487004</v>
      </c>
      <c r="E36" s="91">
        <f t="shared" si="9"/>
        <v>1604116.0546117502</v>
      </c>
    </row>
    <row r="37" spans="1:12" x14ac:dyDescent="0.55000000000000004">
      <c r="A37" s="77">
        <v>28</v>
      </c>
      <c r="B37" s="79">
        <f t="shared" si="3"/>
        <v>37734.250394532595</v>
      </c>
      <c r="C37" s="91">
        <f t="shared" si="7"/>
        <v>4010.2901365293769</v>
      </c>
      <c r="D37" s="91">
        <f t="shared" si="8"/>
        <v>33723.960258003215</v>
      </c>
      <c r="E37" s="91">
        <f t="shared" si="9"/>
        <v>1570392.0943537469</v>
      </c>
    </row>
    <row r="38" spans="1:12" x14ac:dyDescent="0.55000000000000004">
      <c r="A38" s="77">
        <v>29</v>
      </c>
      <c r="B38" s="79">
        <f t="shared" si="3"/>
        <v>37734.250394532595</v>
      </c>
      <c r="C38" s="91">
        <f t="shared" si="7"/>
        <v>3925.9802358843685</v>
      </c>
      <c r="D38" s="91">
        <f t="shared" si="8"/>
        <v>33808.270158648229</v>
      </c>
      <c r="E38" s="91">
        <f t="shared" si="9"/>
        <v>1536583.8241950986</v>
      </c>
    </row>
    <row r="39" spans="1:12" x14ac:dyDescent="0.55000000000000004">
      <c r="A39" s="77">
        <v>30</v>
      </c>
      <c r="B39" s="79">
        <f t="shared" si="3"/>
        <v>37734.250394532595</v>
      </c>
      <c r="C39" s="91">
        <f t="shared" si="7"/>
        <v>3841.4595604877477</v>
      </c>
      <c r="D39" s="91">
        <f t="shared" si="8"/>
        <v>33892.790834044848</v>
      </c>
      <c r="E39" s="91">
        <f t="shared" si="9"/>
        <v>1502691.0333610538</v>
      </c>
    </row>
    <row r="40" spans="1:12" x14ac:dyDescent="0.55000000000000004">
      <c r="A40" s="77">
        <v>31</v>
      </c>
      <c r="B40" s="79">
        <f t="shared" si="3"/>
        <v>37734.250394532595</v>
      </c>
      <c r="C40" s="91">
        <f t="shared" si="7"/>
        <v>3756.7275834026359</v>
      </c>
      <c r="D40" s="91">
        <f t="shared" si="8"/>
        <v>33977.522811129958</v>
      </c>
      <c r="E40" s="91">
        <f t="shared" si="9"/>
        <v>1468713.5105499239</v>
      </c>
    </row>
    <row r="41" spans="1:12" x14ac:dyDescent="0.55000000000000004">
      <c r="A41" s="77">
        <v>32</v>
      </c>
      <c r="B41" s="79">
        <f t="shared" si="3"/>
        <v>37734.250394532595</v>
      </c>
      <c r="C41" s="91">
        <f t="shared" si="7"/>
        <v>3671.7837763748116</v>
      </c>
      <c r="D41" s="91">
        <f t="shared" si="8"/>
        <v>34062.466618157785</v>
      </c>
      <c r="E41" s="91">
        <f t="shared" si="9"/>
        <v>1434651.0439317662</v>
      </c>
    </row>
    <row r="42" spans="1:12" x14ac:dyDescent="0.55000000000000004">
      <c r="A42" s="77">
        <v>33</v>
      </c>
      <c r="B42" s="79">
        <f t="shared" si="3"/>
        <v>37734.250394532595</v>
      </c>
      <c r="C42" s="91">
        <f t="shared" si="7"/>
        <v>3586.6276098294165</v>
      </c>
      <c r="D42" s="91">
        <f t="shared" si="8"/>
        <v>34147.622784703177</v>
      </c>
      <c r="E42" s="91">
        <f t="shared" si="9"/>
        <v>1400503.4211470629</v>
      </c>
    </row>
    <row r="43" spans="1:12" x14ac:dyDescent="0.55000000000000004">
      <c r="A43" s="77">
        <v>34</v>
      </c>
      <c r="B43" s="79">
        <f t="shared" si="3"/>
        <v>37734.250394532595</v>
      </c>
      <c r="C43" s="91">
        <f t="shared" si="7"/>
        <v>3501.2585528676586</v>
      </c>
      <c r="D43" s="91">
        <f t="shared" si="8"/>
        <v>34232.991841664938</v>
      </c>
      <c r="E43" s="91">
        <f t="shared" si="9"/>
        <v>1366270.4293053979</v>
      </c>
    </row>
    <row r="44" spans="1:12" x14ac:dyDescent="0.55000000000000004">
      <c r="A44" s="77">
        <v>35</v>
      </c>
      <c r="B44" s="79">
        <f t="shared" si="3"/>
        <v>37734.250394532595</v>
      </c>
      <c r="C44" s="91">
        <f t="shared" si="7"/>
        <v>3415.6760732634966</v>
      </c>
      <c r="D44" s="91">
        <f t="shared" si="8"/>
        <v>34318.574321269101</v>
      </c>
      <c r="E44" s="91">
        <f t="shared" si="9"/>
        <v>1331951.8549841288</v>
      </c>
    </row>
    <row r="45" spans="1:12" s="93" customFormat="1" x14ac:dyDescent="0.55000000000000004">
      <c r="A45" s="93">
        <v>36</v>
      </c>
      <c r="B45" s="92">
        <f t="shared" si="3"/>
        <v>37734.250394532595</v>
      </c>
      <c r="C45" s="98">
        <f t="shared" si="7"/>
        <v>3329.8796374603239</v>
      </c>
      <c r="D45" s="98">
        <f t="shared" si="8"/>
        <v>34404.370757072269</v>
      </c>
      <c r="E45" s="98">
        <f t="shared" si="9"/>
        <v>1297547.4842270566</v>
      </c>
    </row>
    <row r="46" spans="1:12" x14ac:dyDescent="0.55000000000000004">
      <c r="A46" s="77">
        <v>37</v>
      </c>
      <c r="B46" s="79">
        <f t="shared" si="3"/>
        <v>37734.250394532595</v>
      </c>
      <c r="C46" s="91">
        <f t="shared" si="7"/>
        <v>3243.8687105676427</v>
      </c>
      <c r="D46" s="91">
        <f t="shared" si="8"/>
        <v>34490.381683964952</v>
      </c>
      <c r="E46" s="91">
        <f t="shared" si="9"/>
        <v>1263057.1025430916</v>
      </c>
    </row>
    <row r="47" spans="1:12" x14ac:dyDescent="0.55000000000000004">
      <c r="A47" s="77">
        <v>38</v>
      </c>
      <c r="B47" s="79">
        <f t="shared" si="3"/>
        <v>37734.250394532595</v>
      </c>
      <c r="C47" s="91">
        <f t="shared" si="7"/>
        <v>3157.6427563577308</v>
      </c>
      <c r="D47" s="91">
        <f t="shared" si="8"/>
        <v>34576.607638174864</v>
      </c>
      <c r="E47" s="91">
        <f t="shared" si="9"/>
        <v>1228480.4949049167</v>
      </c>
    </row>
    <row r="48" spans="1:12" x14ac:dyDescent="0.55000000000000004">
      <c r="A48" s="77">
        <v>39</v>
      </c>
      <c r="B48" s="79">
        <f t="shared" si="3"/>
        <v>37734.250394532595</v>
      </c>
      <c r="C48" s="91">
        <f t="shared" si="7"/>
        <v>3071.2012372622935</v>
      </c>
      <c r="D48" s="91">
        <f t="shared" si="8"/>
        <v>34663.049157270303</v>
      </c>
      <c r="E48" s="91">
        <f t="shared" si="9"/>
        <v>1193817.4457476465</v>
      </c>
    </row>
    <row r="49" spans="1:5" x14ac:dyDescent="0.55000000000000004">
      <c r="A49" s="77">
        <v>40</v>
      </c>
      <c r="B49" s="79">
        <f t="shared" si="3"/>
        <v>37734.250394532595</v>
      </c>
      <c r="C49" s="91">
        <f t="shared" si="7"/>
        <v>2984.5436143691177</v>
      </c>
      <c r="D49" s="91">
        <f t="shared" si="8"/>
        <v>34749.706780163477</v>
      </c>
      <c r="E49" s="91">
        <f t="shared" si="9"/>
        <v>1159067.7389674829</v>
      </c>
    </row>
    <row r="50" spans="1:5" x14ac:dyDescent="0.55000000000000004">
      <c r="A50" s="77">
        <v>41</v>
      </c>
      <c r="B50" s="79">
        <f t="shared" si="3"/>
        <v>37734.250394532595</v>
      </c>
      <c r="C50" s="91">
        <f t="shared" si="7"/>
        <v>2897.6693474187091</v>
      </c>
      <c r="D50" s="91">
        <f t="shared" si="8"/>
        <v>34836.581047113883</v>
      </c>
      <c r="E50" s="91">
        <f t="shared" si="9"/>
        <v>1124231.1579203689</v>
      </c>
    </row>
    <row r="51" spans="1:5" x14ac:dyDescent="0.55000000000000004">
      <c r="A51" s="77">
        <v>42</v>
      </c>
      <c r="B51" s="79">
        <f t="shared" si="3"/>
        <v>37734.250394532595</v>
      </c>
      <c r="C51" s="91">
        <f t="shared" si="7"/>
        <v>2810.5778948009242</v>
      </c>
      <c r="D51" s="91">
        <f t="shared" si="8"/>
        <v>34923.672499731671</v>
      </c>
      <c r="E51" s="91">
        <f t="shared" si="9"/>
        <v>1089307.4854206373</v>
      </c>
    </row>
    <row r="52" spans="1:5" x14ac:dyDescent="0.55000000000000004">
      <c r="A52" s="77">
        <v>43</v>
      </c>
      <c r="B52" s="79">
        <f t="shared" si="3"/>
        <v>37734.250394532595</v>
      </c>
      <c r="C52" s="91">
        <f t="shared" si="7"/>
        <v>2723.2687135515948</v>
      </c>
      <c r="D52" s="91">
        <f t="shared" si="8"/>
        <v>35010.981680981</v>
      </c>
      <c r="E52" s="91">
        <f t="shared" si="9"/>
        <v>1054296.5037396564</v>
      </c>
    </row>
    <row r="53" spans="1:5" x14ac:dyDescent="0.55000000000000004">
      <c r="A53" s="77">
        <v>44</v>
      </c>
      <c r="B53" s="79">
        <f t="shared" si="3"/>
        <v>37734.250394532595</v>
      </c>
      <c r="C53" s="91">
        <f t="shared" si="7"/>
        <v>2635.7412593491422</v>
      </c>
      <c r="D53" s="91">
        <f t="shared" si="8"/>
        <v>35098.509135183456</v>
      </c>
      <c r="E53" s="91">
        <f t="shared" si="9"/>
        <v>1019197.994604473</v>
      </c>
    </row>
    <row r="54" spans="1:5" x14ac:dyDescent="0.55000000000000004">
      <c r="A54" s="77">
        <v>45</v>
      </c>
      <c r="B54" s="79">
        <f t="shared" si="3"/>
        <v>37734.250394532595</v>
      </c>
      <c r="C54" s="91">
        <f t="shared" si="7"/>
        <v>2547.9949865111839</v>
      </c>
      <c r="D54" s="91">
        <f t="shared" si="8"/>
        <v>35186.25540802141</v>
      </c>
      <c r="E54" s="91">
        <f t="shared" si="9"/>
        <v>984011.73919645161</v>
      </c>
    </row>
    <row r="55" spans="1:5" x14ac:dyDescent="0.55000000000000004">
      <c r="A55" s="77">
        <v>46</v>
      </c>
      <c r="B55" s="79">
        <f t="shared" si="3"/>
        <v>37734.250394532595</v>
      </c>
      <c r="C55" s="91">
        <f t="shared" si="7"/>
        <v>2460.0293479911306</v>
      </c>
      <c r="D55" s="91">
        <f t="shared" si="8"/>
        <v>35274.221046541468</v>
      </c>
      <c r="E55" s="91">
        <f t="shared" si="9"/>
        <v>948737.51814991015</v>
      </c>
    </row>
    <row r="56" spans="1:5" x14ac:dyDescent="0.55000000000000004">
      <c r="A56" s="77">
        <v>47</v>
      </c>
      <c r="B56" s="79">
        <f t="shared" si="3"/>
        <v>37734.250394532595</v>
      </c>
      <c r="C56" s="91">
        <f t="shared" si="7"/>
        <v>2371.8437953747771</v>
      </c>
      <c r="D56" s="91">
        <f t="shared" si="8"/>
        <v>35362.406599157817</v>
      </c>
      <c r="E56" s="91">
        <f t="shared" si="9"/>
        <v>913375.11155075231</v>
      </c>
    </row>
    <row r="57" spans="1:5" s="93" customFormat="1" x14ac:dyDescent="0.55000000000000004">
      <c r="A57" s="93">
        <v>48</v>
      </c>
      <c r="B57" s="92">
        <f t="shared" si="3"/>
        <v>37734.250394532595</v>
      </c>
      <c r="C57" s="98">
        <f t="shared" si="7"/>
        <v>2283.4377788768825</v>
      </c>
      <c r="D57" s="98">
        <f t="shared" si="8"/>
        <v>35450.812615655712</v>
      </c>
      <c r="E57" s="98">
        <f t="shared" si="9"/>
        <v>877924.29893509659</v>
      </c>
    </row>
    <row r="58" spans="1:5" x14ac:dyDescent="0.55000000000000004">
      <c r="A58" s="77">
        <v>49</v>
      </c>
      <c r="B58" s="79">
        <f t="shared" si="3"/>
        <v>37734.250394532595</v>
      </c>
      <c r="C58" s="91">
        <f t="shared" si="7"/>
        <v>2194.8107473377431</v>
      </c>
      <c r="D58" s="91">
        <f t="shared" si="8"/>
        <v>35539.439647194849</v>
      </c>
      <c r="E58" s="91">
        <f t="shared" si="9"/>
        <v>842384.85928790178</v>
      </c>
    </row>
    <row r="59" spans="1:5" x14ac:dyDescent="0.55000000000000004">
      <c r="A59" s="77">
        <v>50</v>
      </c>
      <c r="B59" s="79">
        <f t="shared" si="3"/>
        <v>37734.250394532595</v>
      </c>
      <c r="C59" s="91">
        <f t="shared" si="7"/>
        <v>2105.9621482197558</v>
      </c>
      <c r="D59" s="91">
        <f t="shared" si="8"/>
        <v>35628.288246312841</v>
      </c>
      <c r="E59" s="91">
        <f t="shared" si="9"/>
        <v>806756.5710415889</v>
      </c>
    </row>
    <row r="60" spans="1:5" x14ac:dyDescent="0.55000000000000004">
      <c r="A60" s="77">
        <v>51</v>
      </c>
      <c r="B60" s="79">
        <f t="shared" si="3"/>
        <v>37734.250394532595</v>
      </c>
      <c r="C60" s="91">
        <f t="shared" si="7"/>
        <v>2016.8914276039739</v>
      </c>
      <c r="D60" s="91">
        <f t="shared" si="8"/>
        <v>35717.358966928623</v>
      </c>
      <c r="E60" s="91">
        <f t="shared" si="9"/>
        <v>771039.21207466023</v>
      </c>
    </row>
    <row r="61" spans="1:5" x14ac:dyDescent="0.55000000000000004">
      <c r="A61" s="77">
        <v>52</v>
      </c>
      <c r="B61" s="79">
        <f t="shared" si="3"/>
        <v>37734.250394532595</v>
      </c>
      <c r="C61" s="91">
        <f t="shared" si="7"/>
        <v>1927.5980301866523</v>
      </c>
      <c r="D61" s="91">
        <f t="shared" si="8"/>
        <v>35806.652364345944</v>
      </c>
      <c r="E61" s="91">
        <f t="shared" si="9"/>
        <v>735232.55971031426</v>
      </c>
    </row>
    <row r="62" spans="1:5" x14ac:dyDescent="0.55000000000000004">
      <c r="A62" s="77">
        <v>53</v>
      </c>
      <c r="B62" s="79">
        <f t="shared" si="3"/>
        <v>37734.250394532595</v>
      </c>
      <c r="C62" s="91">
        <f t="shared" si="7"/>
        <v>1838.0813992757874</v>
      </c>
      <c r="D62" s="91">
        <f t="shared" si="8"/>
        <v>35896.168995256805</v>
      </c>
      <c r="E62" s="91">
        <f t="shared" si="9"/>
        <v>699336.3907150575</v>
      </c>
    </row>
    <row r="63" spans="1:5" x14ac:dyDescent="0.55000000000000004">
      <c r="A63" s="77">
        <v>54</v>
      </c>
      <c r="B63" s="79">
        <f t="shared" si="3"/>
        <v>37734.250394532595</v>
      </c>
      <c r="C63" s="91">
        <f t="shared" si="7"/>
        <v>1748.3409767876453</v>
      </c>
      <c r="D63" s="91">
        <f t="shared" si="8"/>
        <v>35985.909417744951</v>
      </c>
      <c r="E63" s="91">
        <f t="shared" si="9"/>
        <v>663350.48129731254</v>
      </c>
    </row>
    <row r="64" spans="1:5" x14ac:dyDescent="0.55000000000000004">
      <c r="A64" s="77">
        <v>55</v>
      </c>
      <c r="B64" s="79">
        <f t="shared" si="3"/>
        <v>37734.250394532595</v>
      </c>
      <c r="C64" s="91">
        <f t="shared" si="7"/>
        <v>1658.3762032432828</v>
      </c>
      <c r="D64" s="91">
        <f t="shared" si="8"/>
        <v>36075.874191289309</v>
      </c>
      <c r="E64" s="91">
        <f t="shared" si="9"/>
        <v>627274.60710602324</v>
      </c>
    </row>
    <row r="65" spans="1:5" x14ac:dyDescent="0.55000000000000004">
      <c r="A65" s="77">
        <v>56</v>
      </c>
      <c r="B65" s="79">
        <f t="shared" si="3"/>
        <v>37734.250394532595</v>
      </c>
      <c r="C65" s="91">
        <f t="shared" si="7"/>
        <v>1568.1865177650595</v>
      </c>
      <c r="D65" s="91">
        <f t="shared" si="8"/>
        <v>36166.063876767534</v>
      </c>
      <c r="E65" s="91">
        <f t="shared" si="9"/>
        <v>591108.54322925571</v>
      </c>
    </row>
    <row r="66" spans="1:5" x14ac:dyDescent="0.55000000000000004">
      <c r="A66" s="77">
        <v>57</v>
      </c>
      <c r="B66" s="79">
        <f t="shared" si="3"/>
        <v>37734.250394532595</v>
      </c>
      <c r="C66" s="91">
        <f t="shared" si="7"/>
        <v>1477.7713580731408</v>
      </c>
      <c r="D66" s="91">
        <f t="shared" si="8"/>
        <v>36256.479036459452</v>
      </c>
      <c r="E66" s="91">
        <f t="shared" si="9"/>
        <v>554852.06419279624</v>
      </c>
    </row>
    <row r="67" spans="1:5" x14ac:dyDescent="0.55000000000000004">
      <c r="A67" s="77">
        <v>58</v>
      </c>
      <c r="B67" s="79">
        <f t="shared" si="3"/>
        <v>37734.250394532595</v>
      </c>
      <c r="C67" s="91">
        <f t="shared" si="7"/>
        <v>1387.1301604819921</v>
      </c>
      <c r="D67" s="91">
        <f t="shared" si="8"/>
        <v>36347.120234050606</v>
      </c>
      <c r="E67" s="91">
        <f t="shared" si="9"/>
        <v>518504.94395874563</v>
      </c>
    </row>
    <row r="68" spans="1:5" x14ac:dyDescent="0.55000000000000004">
      <c r="A68" s="77">
        <v>59</v>
      </c>
      <c r="B68" s="79">
        <f t="shared" si="3"/>
        <v>37734.250394532595</v>
      </c>
      <c r="C68" s="91">
        <f t="shared" si="7"/>
        <v>1296.2623598968657</v>
      </c>
      <c r="D68" s="91">
        <f t="shared" si="8"/>
        <v>36437.988034635731</v>
      </c>
      <c r="E68" s="91">
        <f t="shared" si="9"/>
        <v>482066.95592410991</v>
      </c>
    </row>
    <row r="69" spans="1:5" s="93" customFormat="1" x14ac:dyDescent="0.55000000000000004">
      <c r="A69" s="93">
        <v>60</v>
      </c>
      <c r="B69" s="92">
        <f t="shared" si="3"/>
        <v>37734.250394532595</v>
      </c>
      <c r="C69" s="98">
        <f t="shared" si="7"/>
        <v>1205.1673898102763</v>
      </c>
      <c r="D69" s="98">
        <f t="shared" si="8"/>
        <v>36529.083004722321</v>
      </c>
      <c r="E69" s="98">
        <f t="shared" si="9"/>
        <v>445537.87291938759</v>
      </c>
    </row>
    <row r="70" spans="1:5" x14ac:dyDescent="0.55000000000000004">
      <c r="A70" s="77">
        <v>61</v>
      </c>
      <c r="B70" s="79">
        <f t="shared" si="3"/>
        <v>37734.250394532595</v>
      </c>
      <c r="C70" s="91">
        <f t="shared" si="7"/>
        <v>1113.8446822984706</v>
      </c>
      <c r="D70" s="91">
        <f t="shared" si="8"/>
        <v>36620.405712234126</v>
      </c>
      <c r="E70" s="91">
        <f t="shared" si="9"/>
        <v>408917.46720715344</v>
      </c>
    </row>
    <row r="71" spans="1:5" x14ac:dyDescent="0.55000000000000004">
      <c r="A71" s="77">
        <v>62</v>
      </c>
      <c r="B71" s="79">
        <f t="shared" si="3"/>
        <v>37734.250394532595</v>
      </c>
      <c r="C71" s="91">
        <f t="shared" si="7"/>
        <v>1022.2936680178851</v>
      </c>
      <c r="D71" s="91">
        <f t="shared" si="8"/>
        <v>36711.956726514712</v>
      </c>
      <c r="E71" s="91">
        <f t="shared" si="9"/>
        <v>372205.51048063871</v>
      </c>
    </row>
    <row r="72" spans="1:5" x14ac:dyDescent="0.55000000000000004">
      <c r="A72" s="77">
        <v>63</v>
      </c>
      <c r="B72" s="79">
        <f t="shared" si="3"/>
        <v>37734.250394532595</v>
      </c>
      <c r="C72" s="91">
        <f t="shared" si="7"/>
        <v>930.51377620159849</v>
      </c>
      <c r="D72" s="91">
        <f t="shared" si="8"/>
        <v>36803.736618330993</v>
      </c>
      <c r="E72" s="91">
        <f t="shared" si="9"/>
        <v>335401.77386230772</v>
      </c>
    </row>
    <row r="73" spans="1:5" x14ac:dyDescent="0.55000000000000004">
      <c r="A73" s="77">
        <v>64</v>
      </c>
      <c r="B73" s="79">
        <f t="shared" si="3"/>
        <v>37734.250394532595</v>
      </c>
      <c r="C73" s="91">
        <f t="shared" si="7"/>
        <v>838.50443465577075</v>
      </c>
      <c r="D73" s="91">
        <f t="shared" si="8"/>
        <v>36895.745959876826</v>
      </c>
      <c r="E73" s="91">
        <f t="shared" si="9"/>
        <v>298506.02790243091</v>
      </c>
    </row>
    <row r="74" spans="1:5" x14ac:dyDescent="0.55000000000000004">
      <c r="A74" s="77">
        <v>65</v>
      </c>
      <c r="B74" s="79">
        <f t="shared" si="3"/>
        <v>37734.250394532595</v>
      </c>
      <c r="C74" s="91">
        <f t="shared" si="7"/>
        <v>746.26506975607879</v>
      </c>
      <c r="D74" s="91">
        <f t="shared" si="8"/>
        <v>36987.985324776513</v>
      </c>
      <c r="E74" s="91">
        <f t="shared" si="9"/>
        <v>261518.04257765441</v>
      </c>
    </row>
    <row r="75" spans="1:5" x14ac:dyDescent="0.55000000000000004">
      <c r="A75" s="77">
        <v>66</v>
      </c>
      <c r="B75" s="79">
        <f t="shared" si="3"/>
        <v>37734.250394532595</v>
      </c>
      <c r="C75" s="91">
        <f t="shared" si="7"/>
        <v>653.79510644413756</v>
      </c>
      <c r="D75" s="91">
        <f t="shared" si="8"/>
        <v>37080.455288088458</v>
      </c>
      <c r="E75" s="91">
        <f t="shared" si="9"/>
        <v>224437.58728956594</v>
      </c>
    </row>
    <row r="76" spans="1:5" x14ac:dyDescent="0.55000000000000004">
      <c r="A76" s="77">
        <v>67</v>
      </c>
      <c r="B76" s="79">
        <f t="shared" si="3"/>
        <v>37734.250394532595</v>
      </c>
      <c r="C76" s="91">
        <f t="shared" si="7"/>
        <v>561.09396822391648</v>
      </c>
      <c r="D76" s="91">
        <f t="shared" si="8"/>
        <v>37173.156426308677</v>
      </c>
      <c r="E76" s="91">
        <f t="shared" si="9"/>
        <v>187264.43086325726</v>
      </c>
    </row>
    <row r="77" spans="1:5" x14ac:dyDescent="0.55000000000000004">
      <c r="A77" s="77">
        <v>68</v>
      </c>
      <c r="B77" s="79">
        <f t="shared" si="3"/>
        <v>37734.250394532595</v>
      </c>
      <c r="C77" s="91">
        <f t="shared" si="7"/>
        <v>468.16107715814468</v>
      </c>
      <c r="D77" s="91">
        <f t="shared" si="8"/>
        <v>37266.089317374448</v>
      </c>
      <c r="E77" s="91">
        <f t="shared" si="9"/>
        <v>149998.34154588281</v>
      </c>
    </row>
    <row r="78" spans="1:5" x14ac:dyDescent="0.55000000000000004">
      <c r="A78" s="77">
        <v>69</v>
      </c>
      <c r="B78" s="79">
        <f t="shared" si="3"/>
        <v>37734.250394532595</v>
      </c>
      <c r="C78" s="91">
        <f t="shared" si="7"/>
        <v>374.99585386470858</v>
      </c>
      <c r="D78" s="91">
        <f t="shared" si="8"/>
        <v>37359.254540667884</v>
      </c>
      <c r="E78" s="91">
        <f t="shared" si="9"/>
        <v>112639.08700521493</v>
      </c>
    </row>
    <row r="79" spans="1:5" x14ac:dyDescent="0.55000000000000004">
      <c r="A79" s="77">
        <v>70</v>
      </c>
      <c r="B79" s="79">
        <f t="shared" si="3"/>
        <v>37734.250394532595</v>
      </c>
      <c r="C79" s="91">
        <f t="shared" si="7"/>
        <v>281.5977175130389</v>
      </c>
      <c r="D79" s="91">
        <f t="shared" si="8"/>
        <v>37452.652677019556</v>
      </c>
      <c r="E79" s="91">
        <f t="shared" si="9"/>
        <v>75186.434328195377</v>
      </c>
    </row>
    <row r="80" spans="1:5" x14ac:dyDescent="0.55000000000000004">
      <c r="A80" s="77">
        <v>71</v>
      </c>
      <c r="B80" s="79">
        <f t="shared" si="3"/>
        <v>37734.250394532595</v>
      </c>
      <c r="C80" s="91">
        <f t="shared" si="7"/>
        <v>187.96608582048995</v>
      </c>
      <c r="D80" s="91">
        <f t="shared" si="8"/>
        <v>37546.284308712107</v>
      </c>
      <c r="E80" s="91">
        <f t="shared" si="9"/>
        <v>37640.15001948327</v>
      </c>
    </row>
    <row r="81" spans="1:5" s="93" customFormat="1" x14ac:dyDescent="0.55000000000000004">
      <c r="A81" s="93">
        <v>72</v>
      </c>
      <c r="B81" s="92">
        <f t="shared" si="3"/>
        <v>37734.250394532595</v>
      </c>
      <c r="C81" s="98">
        <f t="shared" si="7"/>
        <v>94.100375048709722</v>
      </c>
      <c r="D81" s="98">
        <f t="shared" si="8"/>
        <v>37640.150019483888</v>
      </c>
      <c r="E81" s="98">
        <f t="shared" si="9"/>
        <v>-6.184563972055912E-10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C.E. Contingency</vt:lpstr>
      <vt:lpstr>S.P. Contingency</vt:lpstr>
      <vt:lpstr>Cash Flow</vt:lpstr>
      <vt:lpstr>Refinancing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Zurlo</dc:creator>
  <cp:lastModifiedBy>Ivan Fogliata</cp:lastModifiedBy>
  <cp:lastPrinted>2019-09-25T14:48:38Z</cp:lastPrinted>
  <dcterms:created xsi:type="dcterms:W3CDTF">2016-03-14T09:50:39Z</dcterms:created>
  <dcterms:modified xsi:type="dcterms:W3CDTF">2020-05-06T11:16:08Z</dcterms:modified>
</cp:coreProperties>
</file>